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HbnwHUBsrvGLcnSPi9AGTCYrjMtmNZP28ATK8LqjZjva8hya/Zk3gbbbxojxD65ap8iI5kBooPbmNfdYDo5ZgQ==" saltValue="MvybAsk6Eenq8Rona4PCqg==" spinCount="100000"/>
  <workbookPr filterPrivacy="1" codeName="ThisWorkbook" defaultThemeVersion="124226"/>
  <xr:revisionPtr revIDLastSave="0" documentId="8_{B377F396-8038-4EFE-887C-00B4A8799715}"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3" r:id="rId6"/>
    <sheet name="WS-B-3-A-Remeas Suprt" sheetId="44"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r:id="rId16"/>
    <sheet name="WS K TRUE-UP RTEP RR" sheetId="13" state="hidden" r:id="rId17"/>
    <sheet name="WS L RESERVED" sheetId="14" r:id="rId18"/>
    <sheet name="WS M - Cost of Capital" sheetId="39" r:id="rId19"/>
    <sheet name="WS N - Sale of Plant Held" sheetId="21" r:id="rId20"/>
    <sheet name="Worksheet O" sheetId="40" r:id="rId21"/>
    <sheet name="WS P Dep. Rates" sheetId="32" r:id="rId22"/>
    <sheet name="WS Q Cap Structure" sheetId="34" r:id="rId23"/>
    <sheet name="WS R Interest" sheetId="35" r:id="rId24"/>
    <sheet name="WS R Schedule 12" sheetId="41" r:id="rId25"/>
    <sheet name="WS R Schedule 1A" sheetId="42" r:id="rId26"/>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0">#REF!</definedName>
    <definedName name="APCo_Hist_Allocators" localSheetId="1">#REF!</definedName>
    <definedName name="APCo_Hist_Allocators" localSheetId="13">#REF!</definedName>
    <definedName name="APCo_Hist_Allocators" localSheetId="18">#REF!</definedName>
    <definedName name="APCo_Hist_Allocators" localSheetId="25">TCOS!#REF!</definedName>
    <definedName name="APCo_Hist_Allocators" localSheetId="6">#REF!</definedName>
    <definedName name="APCo_Hist_Allocators">TCOS!#REF!</definedName>
    <definedName name="APCo_Proj_Allocators" localSheetId="13">#REF!</definedName>
    <definedName name="APCo_Proj_Allocators" localSheetId="6">#REF!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0">#REF!</definedName>
    <definedName name="IM_Allocators" localSheetId="1">#REF!</definedName>
    <definedName name="IM_Allocators" localSheetId="13">#REF!</definedName>
    <definedName name="IM_Allocators" localSheetId="18">#REF!</definedName>
    <definedName name="IM_Allocators" localSheetId="25">TCOS!#REF!</definedName>
    <definedName name="IM_Allocators" localSheetId="6">#REF!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0">#REF!</definedName>
    <definedName name="M_A" localSheetId="1">#REF!</definedName>
    <definedName name="M_A" localSheetId="13">#REF!</definedName>
    <definedName name="M_A" localSheetId="18">#REF!</definedName>
    <definedName name="M_A" localSheetId="25">'WS I RESERVED'!#REF!</definedName>
    <definedName name="M_A" localSheetId="6">#REF!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0">#REF!</definedName>
    <definedName name="NP_h" localSheetId="1">#REF!</definedName>
    <definedName name="NP_h" localSheetId="13">#REF!</definedName>
    <definedName name="NP_h" localSheetId="18">#REF!</definedName>
    <definedName name="NP_h" localSheetId="6">#REF!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TCOS!$A$1:$L$390</definedName>
    <definedName name="_xlnm.Print_Area" localSheetId="20">'Worksheet O'!$A$1:$D$37</definedName>
    <definedName name="_xlnm.Print_Area" localSheetId="2">'WS B ADIT &amp; ITC'!$A$1:$I$56</definedName>
    <definedName name="_xlnm.Print_Area" localSheetId="8">'WS D IPP Credits'!$A$3:$E$28</definedName>
    <definedName name="_xlnm.Print_Area" localSheetId="9">'WS E Rev Credits'!$A$3:$K$38</definedName>
    <definedName name="_xlnm.Print_Area" localSheetId="10">'WS F Misc Exp'!$A$3:$G$73</definedName>
    <definedName name="_xlnm.Print_Area" localSheetId="11">'WS G  State Tax Rate'!$A$3:$H$34</definedName>
    <definedName name="_xlnm.Print_Area" localSheetId="12">'WS H-p1 Other Taxes'!$A$1:$M$71</definedName>
    <definedName name="_xlnm.Print_Area" localSheetId="13">'WS H-p2 Detail of Tax Amts'!$A$1:$I$111</definedName>
    <definedName name="_xlnm.Print_Area" localSheetId="14">'WS I RESERVED'!$A$1:$J$15</definedName>
    <definedName name="_xlnm.Print_Area" localSheetId="15">'WS J PROJECTED RTEP RR'!$A$1:$O$1426</definedName>
    <definedName name="_xlnm.Print_Area" localSheetId="16">'WS K TRUE-UP RTEP RR'!$A$3:$P$166</definedName>
    <definedName name="_xlnm.Print_Area" localSheetId="17">'WS L RESERVED'!$A$3:$F$9</definedName>
    <definedName name="_xlnm.Print_Area" localSheetId="19">'WS N - Sale of Plant Held'!$A$3:$U$35</definedName>
    <definedName name="_xlnm.Print_Area" localSheetId="21">'WS P Dep. Rates'!$A$1:$F$52</definedName>
    <definedName name="_xlnm.Print_Area" localSheetId="22">'WS Q Cap Structure'!$A$1:$J$239</definedName>
    <definedName name="_xlnm.Print_Area" localSheetId="23">'WS R Interest'!$A$1:$L$61</definedName>
    <definedName name="_xlnm.Print_Area" localSheetId="6">#REF!</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Rates'!$5:$11</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Capital'!$A$10:$N$82</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Capital'!$A$10:$N$82</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Capital'!$A$10:$N$82</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Capital'!$A$10:$N$82</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57" i="20" l="1"/>
  <c r="C1358" i="20" s="1"/>
  <c r="C1359" i="20" s="1"/>
  <c r="C1360" i="20" s="1"/>
  <c r="C1361" i="20" s="1"/>
  <c r="C1362" i="20" s="1"/>
  <c r="C1363" i="20" s="1"/>
  <c r="C1364" i="20" s="1"/>
  <c r="C1365" i="20" s="1"/>
  <c r="C1366" i="20" s="1"/>
  <c r="C1367" i="20" s="1"/>
  <c r="C1368" i="20" s="1"/>
  <c r="C1369" i="20" s="1"/>
  <c r="C1370" i="20" s="1"/>
  <c r="C1371" i="20" s="1"/>
  <c r="C1372" i="20" s="1"/>
  <c r="C1373" i="20" s="1"/>
  <c r="C1374" i="20" s="1"/>
  <c r="C1375" i="20" s="1"/>
  <c r="C1376" i="20" s="1"/>
  <c r="C1377" i="20" s="1"/>
  <c r="C1378" i="20" s="1"/>
  <c r="C1379" i="20" s="1"/>
  <c r="C1380" i="20" s="1"/>
  <c r="C1381" i="20" s="1"/>
  <c r="C1382" i="20" s="1"/>
  <c r="C1383" i="20" s="1"/>
  <c r="C1384" i="20" s="1"/>
  <c r="C1385" i="20" s="1"/>
  <c r="C1386" i="20" s="1"/>
  <c r="C1387" i="20" s="1"/>
  <c r="C1388" i="20" s="1"/>
  <c r="C1389" i="20" s="1"/>
  <c r="C1390" i="20" s="1"/>
  <c r="C1391" i="20" s="1"/>
  <c r="C1392" i="20" s="1"/>
  <c r="C1393" i="20" s="1"/>
  <c r="C1394" i="20" s="1"/>
  <c r="C1395" i="20" s="1"/>
  <c r="C1396" i="20" s="1"/>
  <c r="C1397" i="20" s="1"/>
  <c r="C1398" i="20" s="1"/>
  <c r="C1399" i="20" s="1"/>
  <c r="C1400" i="20" s="1"/>
  <c r="C1401" i="20" s="1"/>
  <c r="C1402" i="20" s="1"/>
  <c r="C1403" i="20" s="1"/>
  <c r="C1404" i="20" s="1"/>
  <c r="C1405" i="20" s="1"/>
  <c r="C1406" i="20" s="1"/>
  <c r="C1407" i="20" s="1"/>
  <c r="C1408" i="20" s="1"/>
  <c r="C1409" i="20" s="1"/>
  <c r="C1410" i="20" s="1"/>
  <c r="C1411" i="20" s="1"/>
  <c r="C1412" i="20" s="1"/>
  <c r="C1413" i="20" s="1"/>
  <c r="C1414" i="20" s="1"/>
  <c r="C1415" i="20" s="1"/>
  <c r="C1416" i="20" s="1"/>
  <c r="K1352" i="20"/>
  <c r="I1351" i="20"/>
  <c r="O1338" i="20"/>
  <c r="N1338" i="20"/>
  <c r="A1338" i="20"/>
  <c r="D1357" i="20" l="1"/>
  <c r="B8" i="35" l="1"/>
  <c r="G165" i="2" l="1"/>
  <c r="F15" i="10" l="1"/>
  <c r="F11" i="10"/>
  <c r="A1248" i="20" l="1"/>
  <c r="N1248" i="20"/>
  <c r="O1248" i="20"/>
  <c r="I1261" i="20"/>
  <c r="K1262" i="20"/>
  <c r="C1267" i="20"/>
  <c r="C1268" i="20" s="1"/>
  <c r="C1269" i="20" s="1"/>
  <c r="C1270" i="20" s="1"/>
  <c r="C1271" i="20" s="1"/>
  <c r="C1272" i="20" s="1"/>
  <c r="C1273" i="20" s="1"/>
  <c r="C1274" i="20" s="1"/>
  <c r="C1275" i="20" s="1"/>
  <c r="C1276" i="20" s="1"/>
  <c r="C1277" i="20" s="1"/>
  <c r="C1278" i="20" s="1"/>
  <c r="C1279" i="20" s="1"/>
  <c r="C1280" i="20" s="1"/>
  <c r="C1281" i="20" s="1"/>
  <c r="C1282" i="20" s="1"/>
  <c r="C1283" i="20" s="1"/>
  <c r="C1284" i="20" s="1"/>
  <c r="C1285" i="20" s="1"/>
  <c r="C1286" i="20" s="1"/>
  <c r="C1287" i="20" s="1"/>
  <c r="C1288" i="20" s="1"/>
  <c r="C1289" i="20" s="1"/>
  <c r="C1290" i="20" s="1"/>
  <c r="C1291" i="20" s="1"/>
  <c r="C1292" i="20" s="1"/>
  <c r="C1293" i="20" s="1"/>
  <c r="C1294" i="20" s="1"/>
  <c r="C1295" i="20" s="1"/>
  <c r="C1296" i="20" s="1"/>
  <c r="C1297" i="20" s="1"/>
  <c r="C1298" i="20" s="1"/>
  <c r="C1299" i="20" s="1"/>
  <c r="C1300" i="20" s="1"/>
  <c r="C1301" i="20" s="1"/>
  <c r="C1302" i="20" s="1"/>
  <c r="C1303" i="20" s="1"/>
  <c r="C1304" i="20" s="1"/>
  <c r="C1305" i="20" s="1"/>
  <c r="C1306" i="20" s="1"/>
  <c r="C1307" i="20" s="1"/>
  <c r="C1308" i="20" s="1"/>
  <c r="C1309" i="20" s="1"/>
  <c r="C1310" i="20" s="1"/>
  <c r="C1311" i="20" s="1"/>
  <c r="C1312" i="20" s="1"/>
  <c r="C1313" i="20" s="1"/>
  <c r="C1314" i="20" s="1"/>
  <c r="C1315" i="20" s="1"/>
  <c r="C1316" i="20" s="1"/>
  <c r="C1317" i="20" s="1"/>
  <c r="C1318" i="20" s="1"/>
  <c r="C1319" i="20" s="1"/>
  <c r="C1320" i="20" s="1"/>
  <c r="C1321" i="20" s="1"/>
  <c r="C1322" i="20" s="1"/>
  <c r="C1323" i="20" s="1"/>
  <c r="C1324" i="20" s="1"/>
  <c r="C1325" i="20" s="1"/>
  <c r="C1326" i="20" s="1"/>
  <c r="A1158" i="20"/>
  <c r="N1158" i="20"/>
  <c r="O1158" i="20"/>
  <c r="I1171" i="20"/>
  <c r="K1172" i="20"/>
  <c r="C1177" i="20"/>
  <c r="C1178" i="20" s="1"/>
  <c r="C1179" i="20" s="1"/>
  <c r="C1180" i="20" s="1"/>
  <c r="C1181" i="20" s="1"/>
  <c r="C1182" i="20" s="1"/>
  <c r="C1183" i="20" s="1"/>
  <c r="C1184" i="20" s="1"/>
  <c r="C1185" i="20" s="1"/>
  <c r="C1186" i="20" s="1"/>
  <c r="C1187" i="20" s="1"/>
  <c r="C1188" i="20" s="1"/>
  <c r="C1189" i="20" s="1"/>
  <c r="C1190" i="20" s="1"/>
  <c r="C1191" i="20" s="1"/>
  <c r="C1192" i="20" s="1"/>
  <c r="C1193" i="20" s="1"/>
  <c r="C1194" i="20" s="1"/>
  <c r="C1195" i="20" s="1"/>
  <c r="C1196" i="20" s="1"/>
  <c r="C1197" i="20" s="1"/>
  <c r="C1198" i="20" s="1"/>
  <c r="C1199" i="20" s="1"/>
  <c r="C1200" i="20" s="1"/>
  <c r="C1201" i="20" s="1"/>
  <c r="C1202" i="20" s="1"/>
  <c r="C1203" i="20" s="1"/>
  <c r="C1204" i="20" s="1"/>
  <c r="C1205" i="20" s="1"/>
  <c r="C1206" i="20" s="1"/>
  <c r="C1207" i="20" s="1"/>
  <c r="C1208" i="20" s="1"/>
  <c r="C1209" i="20" s="1"/>
  <c r="C1210" i="20" s="1"/>
  <c r="C1211" i="20" s="1"/>
  <c r="C1212" i="20" s="1"/>
  <c r="C1213" i="20" s="1"/>
  <c r="C1214" i="20" s="1"/>
  <c r="C1215" i="20" s="1"/>
  <c r="C1216" i="20" s="1"/>
  <c r="C1217" i="20" s="1"/>
  <c r="C1218" i="20" s="1"/>
  <c r="C1219" i="20" s="1"/>
  <c r="C1220" i="20" s="1"/>
  <c r="C1221" i="20" s="1"/>
  <c r="C1222" i="20" s="1"/>
  <c r="C1223" i="20" s="1"/>
  <c r="C1224" i="20" s="1"/>
  <c r="C1225" i="20" s="1"/>
  <c r="C1226" i="20" s="1"/>
  <c r="C1227" i="20" s="1"/>
  <c r="C1228" i="20" s="1"/>
  <c r="C1229" i="20" s="1"/>
  <c r="C1230" i="20" s="1"/>
  <c r="C1231" i="20" s="1"/>
  <c r="C1232" i="20" s="1"/>
  <c r="C1233" i="20" s="1"/>
  <c r="C1234" i="20" s="1"/>
  <c r="C1235" i="20" s="1"/>
  <c r="C1236" i="20" s="1"/>
  <c r="C1087" i="20"/>
  <c r="C1088" i="20" s="1"/>
  <c r="C1089" i="20" s="1"/>
  <c r="C1090" i="20" s="1"/>
  <c r="C1091" i="20" s="1"/>
  <c r="C1092" i="20" s="1"/>
  <c r="C1093" i="20" s="1"/>
  <c r="C1094" i="20" s="1"/>
  <c r="C1095" i="20" s="1"/>
  <c r="C1096" i="20" s="1"/>
  <c r="C1097" i="20" s="1"/>
  <c r="C1098" i="20" s="1"/>
  <c r="C1099" i="20" s="1"/>
  <c r="C1100" i="20" s="1"/>
  <c r="C1101" i="20" s="1"/>
  <c r="C1102" i="20" s="1"/>
  <c r="C1103" i="20" s="1"/>
  <c r="C1104" i="20" s="1"/>
  <c r="C1105" i="20" s="1"/>
  <c r="C1106" i="20" s="1"/>
  <c r="C1107" i="20" s="1"/>
  <c r="C1108" i="20" s="1"/>
  <c r="C1109" i="20" s="1"/>
  <c r="C1110" i="20" s="1"/>
  <c r="C1111" i="20" s="1"/>
  <c r="C1112" i="20" s="1"/>
  <c r="C1113" i="20" s="1"/>
  <c r="C1114" i="20" s="1"/>
  <c r="C1115" i="20" s="1"/>
  <c r="C1116" i="20" s="1"/>
  <c r="C1117" i="20" s="1"/>
  <c r="C1118" i="20" s="1"/>
  <c r="C1119" i="20" s="1"/>
  <c r="C1120" i="20" s="1"/>
  <c r="C1121" i="20" s="1"/>
  <c r="C1122" i="20" s="1"/>
  <c r="C1123" i="20" s="1"/>
  <c r="C1124" i="20" s="1"/>
  <c r="C1125" i="20" s="1"/>
  <c r="C1126" i="20" s="1"/>
  <c r="C1127" i="20" s="1"/>
  <c r="C1128" i="20" s="1"/>
  <c r="C1129" i="20" s="1"/>
  <c r="C1130" i="20" s="1"/>
  <c r="C1131" i="20" s="1"/>
  <c r="C1132" i="20" s="1"/>
  <c r="C1133" i="20" s="1"/>
  <c r="C1134" i="20" s="1"/>
  <c r="C1135" i="20" s="1"/>
  <c r="C1136" i="20" s="1"/>
  <c r="C1137" i="20" s="1"/>
  <c r="C1138" i="20" s="1"/>
  <c r="C1139" i="20" s="1"/>
  <c r="C1140" i="20" s="1"/>
  <c r="C1141" i="20" s="1"/>
  <c r="C1142" i="20" s="1"/>
  <c r="C1143" i="20" s="1"/>
  <c r="C1144" i="20" s="1"/>
  <c r="C1145" i="20" s="1"/>
  <c r="C1146" i="20" s="1"/>
  <c r="K1082" i="20"/>
  <c r="I1081" i="20"/>
  <c r="O1068" i="20"/>
  <c r="N1068" i="20"/>
  <c r="A1068" i="20"/>
  <c r="D1267" i="20" l="1"/>
  <c r="D1177" i="20"/>
  <c r="D1087" i="20"/>
  <c r="F23" i="44" l="1"/>
  <c r="D21" i="44"/>
  <c r="H21" i="44" s="1"/>
  <c r="L17" i="44"/>
  <c r="O17" i="44" s="1"/>
  <c r="H17" i="44"/>
  <c r="J15" i="44"/>
  <c r="J21" i="44" s="1"/>
  <c r="L21" i="44" s="1"/>
  <c r="D15" i="44"/>
  <c r="A14" i="44"/>
  <c r="A15" i="44" s="1"/>
  <c r="A17" i="44" s="1"/>
  <c r="A19" i="44" s="1"/>
  <c r="A20" i="44" s="1"/>
  <c r="A21" i="44" s="1"/>
  <c r="A23" i="44" s="1"/>
  <c r="O21" i="44" l="1"/>
  <c r="L15" i="44"/>
  <c r="O15" i="44" s="1"/>
  <c r="D23" i="44"/>
  <c r="J23" i="44"/>
  <c r="H15" i="44"/>
  <c r="O23" i="44" l="1"/>
  <c r="L23" i="44"/>
  <c r="F42" i="38" l="1"/>
  <c r="D42" i="38"/>
  <c r="F23" i="38"/>
  <c r="D23" i="38"/>
  <c r="G42" i="38" l="1"/>
  <c r="C42" i="38"/>
  <c r="E42" i="38"/>
  <c r="G23" i="38"/>
  <c r="E23" i="38"/>
  <c r="C23" i="38"/>
  <c r="E8" i="41" l="1"/>
  <c r="B8" i="42"/>
  <c r="B8" i="41" l="1"/>
  <c r="D45" i="32"/>
  <c r="C44" i="32"/>
  <c r="D44" i="32" s="1"/>
  <c r="D43" i="32"/>
  <c r="D42" i="32"/>
  <c r="D46" i="32" l="1"/>
  <c r="N978" i="20" l="1"/>
  <c r="C997" i="20"/>
  <c r="C998" i="20" s="1"/>
  <c r="C999" i="20" s="1"/>
  <c r="C1000" i="20" s="1"/>
  <c r="C1001" i="20" s="1"/>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K992" i="20"/>
  <c r="I991" i="20"/>
  <c r="D997" i="20"/>
  <c r="O978" i="20"/>
  <c r="A978" i="20"/>
  <c r="C1027" i="20" l="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C1053" i="20" s="1"/>
  <c r="C1054" i="20" s="1"/>
  <c r="C1055" i="20" s="1"/>
  <c r="C1056" i="20" s="1"/>
  <c r="B17" i="42" l="1"/>
  <c r="B17" i="41"/>
  <c r="C39" i="42"/>
  <c r="C40" i="42" s="1"/>
  <c r="C41" i="42" s="1"/>
  <c r="C42" i="42" s="1"/>
  <c r="C43" i="42" s="1"/>
  <c r="C44" i="42" s="1"/>
  <c r="C45" i="42" s="1"/>
  <c r="C46" i="42" s="1"/>
  <c r="C47" i="42" s="1"/>
  <c r="C48" i="42" s="1"/>
  <c r="C49" i="42" s="1"/>
  <c r="C50" i="42" s="1"/>
  <c r="C36" i="42"/>
  <c r="C21" i="42"/>
  <c r="C32" i="42" s="1"/>
  <c r="C39" i="35"/>
  <c r="C40" i="35" s="1"/>
  <c r="C41" i="35" s="1"/>
  <c r="C42" i="35" s="1"/>
  <c r="C43" i="35" s="1"/>
  <c r="C44" i="35" s="1"/>
  <c r="C45" i="35" s="1"/>
  <c r="C46" i="35" s="1"/>
  <c r="C47" i="35" s="1"/>
  <c r="C48" i="35" s="1"/>
  <c r="C49" i="35" s="1"/>
  <c r="C50" i="35" s="1"/>
  <c r="C36" i="35"/>
  <c r="C21" i="35"/>
  <c r="C29" i="35" s="1"/>
  <c r="C39" i="41"/>
  <c r="C36" i="41"/>
  <c r="C21" i="41"/>
  <c r="C22" i="35" l="1"/>
  <c r="C26" i="35"/>
  <c r="C30" i="35"/>
  <c r="C23" i="42"/>
  <c r="C27" i="42"/>
  <c r="C31" i="42"/>
  <c r="C25" i="42"/>
  <c r="C29" i="42"/>
  <c r="C22" i="42"/>
  <c r="C26" i="42"/>
  <c r="C30" i="42"/>
  <c r="C24" i="42"/>
  <c r="C28" i="42"/>
  <c r="C23" i="35"/>
  <c r="C27" i="35"/>
  <c r="C31" i="35"/>
  <c r="C24" i="35"/>
  <c r="C28" i="35"/>
  <c r="C32" i="35"/>
  <c r="C25" i="35"/>
  <c r="F23" i="39" l="1"/>
  <c r="E23" i="39"/>
  <c r="D23" i="39"/>
  <c r="G22" i="39"/>
  <c r="G21" i="39"/>
  <c r="G20" i="39"/>
  <c r="G19" i="39"/>
  <c r="G18" i="39"/>
  <c r="G17" i="39"/>
  <c r="G16" i="39"/>
  <c r="G15" i="39"/>
  <c r="G14" i="39"/>
  <c r="G13" i="39"/>
  <c r="G12" i="39"/>
  <c r="G11" i="39"/>
  <c r="G10" i="39"/>
  <c r="F28" i="38"/>
  <c r="D28" i="38"/>
  <c r="H34" i="39" l="1"/>
  <c r="H36" i="39"/>
  <c r="H38" i="39"/>
  <c r="H40" i="39"/>
  <c r="H29" i="39"/>
  <c r="H41" i="39"/>
  <c r="H35" i="39"/>
  <c r="H39" i="39"/>
  <c r="H32" i="39"/>
  <c r="H31" i="39"/>
  <c r="H33" i="39"/>
  <c r="H30" i="39"/>
  <c r="H37" i="39"/>
  <c r="G23" i="39"/>
  <c r="C23" i="39"/>
  <c r="B44" i="43"/>
  <c r="O27" i="43"/>
  <c r="N27" i="43"/>
  <c r="L27" i="43"/>
  <c r="K27" i="43"/>
  <c r="J27" i="43"/>
  <c r="I27" i="43"/>
  <c r="B27" i="43"/>
  <c r="P24" i="43"/>
  <c r="P23" i="43"/>
  <c r="M27" i="43"/>
  <c r="Q18" i="43"/>
  <c r="P17" i="43"/>
  <c r="P16" i="43"/>
  <c r="Q15" i="43"/>
  <c r="Q14" i="43"/>
  <c r="P13" i="43"/>
  <c r="Q27" i="43" l="1"/>
  <c r="P19" i="43"/>
  <c r="P27" i="43" s="1"/>
  <c r="C40" i="41"/>
  <c r="C31" i="41"/>
  <c r="C28" i="41" l="1"/>
  <c r="C24" i="41"/>
  <c r="C32" i="41"/>
  <c r="C25" i="41"/>
  <c r="C29" i="41"/>
  <c r="C22" i="41"/>
  <c r="C26" i="41"/>
  <c r="C30" i="41"/>
  <c r="C23" i="41"/>
  <c r="C27" i="41"/>
  <c r="G136" i="2" l="1"/>
  <c r="D30" i="40"/>
  <c r="I17" i="6"/>
  <c r="G106" i="2" s="1"/>
  <c r="L232" i="2"/>
  <c r="G233" i="2"/>
  <c r="I50" i="5"/>
  <c r="H22" i="42"/>
  <c r="H23" i="42" s="1"/>
  <c r="H24" i="42" s="1"/>
  <c r="H25" i="42" s="1"/>
  <c r="H26" i="42" s="1"/>
  <c r="H27" i="42" s="1"/>
  <c r="H28" i="42" s="1"/>
  <c r="H29" i="42" s="1"/>
  <c r="H30" i="42" s="1"/>
  <c r="H31" i="42" s="1"/>
  <c r="H32" i="42" s="1"/>
  <c r="G10" i="42"/>
  <c r="C10" i="42"/>
  <c r="C41" i="41"/>
  <c r="C42" i="41" s="1"/>
  <c r="C43" i="41" s="1"/>
  <c r="C44" i="41" s="1"/>
  <c r="C45" i="41" s="1"/>
  <c r="C46" i="41" s="1"/>
  <c r="C47" i="41" s="1"/>
  <c r="C48" i="41" s="1"/>
  <c r="C49" i="41" s="1"/>
  <c r="C50" i="41" s="1"/>
  <c r="G76" i="2"/>
  <c r="G74" i="2"/>
  <c r="G64" i="2"/>
  <c r="D906" i="20"/>
  <c r="C906" i="20"/>
  <c r="C907" i="20" s="1"/>
  <c r="C908" i="20" s="1"/>
  <c r="C909" i="20" s="1"/>
  <c r="C910" i="20" s="1"/>
  <c r="C911" i="20" s="1"/>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C964" i="20" s="1"/>
  <c r="C965" i="20" s="1"/>
  <c r="K901" i="20"/>
  <c r="I900" i="20"/>
  <c r="O887" i="20"/>
  <c r="N887" i="20"/>
  <c r="A887" i="20"/>
  <c r="H22" i="41"/>
  <c r="H23" i="41" s="1"/>
  <c r="H24" i="41" s="1"/>
  <c r="H25" i="41" s="1"/>
  <c r="H26" i="41" s="1"/>
  <c r="H27" i="41" s="1"/>
  <c r="H28" i="41" s="1"/>
  <c r="H29" i="41" s="1"/>
  <c r="H30" i="41" s="1"/>
  <c r="H31" i="41" s="1"/>
  <c r="H32" i="41" s="1"/>
  <c r="G10" i="41"/>
  <c r="C10" i="41"/>
  <c r="H22" i="35"/>
  <c r="H23" i="35" s="1"/>
  <c r="H24" i="35" s="1"/>
  <c r="H25" i="35" s="1"/>
  <c r="H26" i="35" s="1"/>
  <c r="H27" i="35" s="1"/>
  <c r="H28" i="35" s="1"/>
  <c r="H29" i="35" s="1"/>
  <c r="H30" i="35" s="1"/>
  <c r="H31" i="35" s="1"/>
  <c r="H32" i="35" s="1"/>
  <c r="G10" i="35"/>
  <c r="C10" i="35"/>
  <c r="D815" i="20"/>
  <c r="C815" i="20"/>
  <c r="C816" i="20" s="1"/>
  <c r="C817" i="20" s="1"/>
  <c r="C818" i="20" s="1"/>
  <c r="C819" i="20" s="1"/>
  <c r="C820" i="20" s="1"/>
  <c r="C821" i="20" s="1"/>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K810" i="20"/>
  <c r="I809" i="20"/>
  <c r="O796" i="20"/>
  <c r="N796" i="20"/>
  <c r="A796" i="20"/>
  <c r="D726" i="20"/>
  <c r="C726" i="20"/>
  <c r="C727" i="20" s="1"/>
  <c r="C728" i="20" s="1"/>
  <c r="C729" i="20" s="1"/>
  <c r="C730" i="20" s="1"/>
  <c r="C731" i="20" s="1"/>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K721" i="20"/>
  <c r="I720" i="20"/>
  <c r="O707" i="20"/>
  <c r="N707" i="20"/>
  <c r="A707" i="20"/>
  <c r="D637" i="20"/>
  <c r="C637" i="20"/>
  <c r="C638" i="20" s="1"/>
  <c r="C639" i="20" s="1"/>
  <c r="C640" i="20" s="1"/>
  <c r="C641" i="20" s="1"/>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K632" i="20"/>
  <c r="I631" i="20"/>
  <c r="O618" i="20"/>
  <c r="N618" i="20"/>
  <c r="A618" i="20"/>
  <c r="D548" i="20"/>
  <c r="C548" i="20"/>
  <c r="C549" i="20" s="1"/>
  <c r="C550" i="20" s="1"/>
  <c r="C551" i="20" s="1"/>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K543" i="20"/>
  <c r="I542" i="20"/>
  <c r="O529" i="20"/>
  <c r="N529" i="20"/>
  <c r="A529" i="20"/>
  <c r="N8" i="20"/>
  <c r="O440" i="20"/>
  <c r="N440" i="20"/>
  <c r="A440" i="20"/>
  <c r="O350" i="20"/>
  <c r="N350" i="20"/>
  <c r="A350" i="20"/>
  <c r="D459" i="20"/>
  <c r="C459" i="20"/>
  <c r="C460" i="20" s="1"/>
  <c r="C461" i="20" s="1"/>
  <c r="C462" i="20" s="1"/>
  <c r="C463" i="20" s="1"/>
  <c r="C464" i="20" s="1"/>
  <c r="K454" i="20"/>
  <c r="I453" i="20"/>
  <c r="D369" i="20"/>
  <c r="C369" i="20"/>
  <c r="C370" i="20" s="1"/>
  <c r="C371" i="20" s="1"/>
  <c r="C372" i="20" s="1"/>
  <c r="C373" i="20" s="1"/>
  <c r="C374" i="20" s="1"/>
  <c r="K364" i="20"/>
  <c r="I363" i="20"/>
  <c r="D280" i="20"/>
  <c r="C280" i="20"/>
  <c r="C281" i="20" s="1"/>
  <c r="C282" i="20" s="1"/>
  <c r="C283" i="20" s="1"/>
  <c r="C284" i="20" s="1"/>
  <c r="C285" i="20" s="1"/>
  <c r="C286" i="20" s="1"/>
  <c r="C287" i="20" s="1"/>
  <c r="K275" i="20"/>
  <c r="I274" i="20"/>
  <c r="O261" i="20"/>
  <c r="N261" i="20"/>
  <c r="A261" i="20"/>
  <c r="D191" i="20"/>
  <c r="C191" i="20"/>
  <c r="C192" i="20" s="1"/>
  <c r="C193" i="20" s="1"/>
  <c r="C194" i="20" s="1"/>
  <c r="C195" i="20" s="1"/>
  <c r="C196" i="20" s="1"/>
  <c r="C197" i="20" s="1"/>
  <c r="C198" i="20" s="1"/>
  <c r="K186" i="20"/>
  <c r="I185" i="20"/>
  <c r="O172" i="20"/>
  <c r="N172" i="20"/>
  <c r="A172" i="20"/>
  <c r="D62" i="38"/>
  <c r="C62" i="38"/>
  <c r="L214" i="2" s="1"/>
  <c r="G66" i="2"/>
  <c r="A7" i="40"/>
  <c r="A4" i="40"/>
  <c r="A3" i="40"/>
  <c r="A12" i="40"/>
  <c r="A15" i="40" s="1"/>
  <c r="A16" i="40" s="1"/>
  <c r="A17" i="40" s="1"/>
  <c r="A18" i="40" s="1"/>
  <c r="A19" i="40" s="1"/>
  <c r="A20" i="40" s="1"/>
  <c r="A21" i="40" s="1"/>
  <c r="A22" i="40" s="1"/>
  <c r="A23" i="40" s="1"/>
  <c r="A26" i="40" s="1"/>
  <c r="A27" i="40" s="1"/>
  <c r="A28" i="40" s="1"/>
  <c r="A29"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E55" i="39" s="1"/>
  <c r="A11" i="39"/>
  <c r="A12" i="39" s="1"/>
  <c r="A13" i="39" s="1"/>
  <c r="A14" i="39" s="1"/>
  <c r="A15" i="39" s="1"/>
  <c r="A16" i="39" s="1"/>
  <c r="A17" i="39" s="1"/>
  <c r="A18" i="39" s="1"/>
  <c r="A19" i="39" s="1"/>
  <c r="A20" i="39" s="1"/>
  <c r="A21" i="39" s="1"/>
  <c r="A22" i="39" s="1"/>
  <c r="A23" i="39" s="1"/>
  <c r="A2" i="39"/>
  <c r="B6" i="14"/>
  <c r="A6" i="13"/>
  <c r="A81" i="13" s="1"/>
  <c r="A6" i="20"/>
  <c r="I77" i="20" s="1"/>
  <c r="A6" i="31"/>
  <c r="A6" i="11"/>
  <c r="A6" i="10"/>
  <c r="A6" i="9"/>
  <c r="A6" i="8"/>
  <c r="B36" i="8" s="1"/>
  <c r="A6" i="7"/>
  <c r="B26" i="7" s="1"/>
  <c r="A6" i="6"/>
  <c r="A6" i="5"/>
  <c r="A4" i="38"/>
  <c r="Q27" i="21"/>
  <c r="Q22" i="21"/>
  <c r="Q17" i="21"/>
  <c r="D48" i="38"/>
  <c r="C4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E40" i="31"/>
  <c r="E23" i="11" s="1"/>
  <c r="G23" i="11" s="1"/>
  <c r="I41" i="31"/>
  <c r="I40" i="31" s="1"/>
  <c r="I39" i="31"/>
  <c r="I36" i="31"/>
  <c r="I35" i="31"/>
  <c r="I34" i="31"/>
  <c r="I33" i="31"/>
  <c r="I32" i="31"/>
  <c r="I25" i="31"/>
  <c r="I26" i="31"/>
  <c r="I27" i="31"/>
  <c r="I28" i="31"/>
  <c r="I29" i="31"/>
  <c r="D43" i="5"/>
  <c r="D42" i="5"/>
  <c r="D27" i="5"/>
  <c r="D19" i="5"/>
  <c r="B1" i="37"/>
  <c r="B1" i="36"/>
  <c r="S110" i="37"/>
  <c r="R110" i="37"/>
  <c r="Q110" i="37"/>
  <c r="O110" i="37"/>
  <c r="N110" i="37"/>
  <c r="M110" i="37"/>
  <c r="F110" i="37"/>
  <c r="E110" i="37"/>
  <c r="S109" i="37"/>
  <c r="R109" i="37"/>
  <c r="Q109" i="37"/>
  <c r="O109" i="37"/>
  <c r="N109" i="37"/>
  <c r="M109" i="37"/>
  <c r="K107" i="37"/>
  <c r="J107" i="37"/>
  <c r="I107" i="37"/>
  <c r="D107" i="37"/>
  <c r="C107" i="37"/>
  <c r="K106" i="37"/>
  <c r="J106" i="37"/>
  <c r="I106" i="37"/>
  <c r="F106" i="37"/>
  <c r="E106" i="37"/>
  <c r="F105" i="37"/>
  <c r="E105" i="37"/>
  <c r="F104" i="37"/>
  <c r="E104" i="37"/>
  <c r="F103" i="37"/>
  <c r="E103" i="37"/>
  <c r="F102" i="37"/>
  <c r="E102" i="37"/>
  <c r="F101" i="37"/>
  <c r="E101" i="37"/>
  <c r="F100" i="37"/>
  <c r="E100" i="37"/>
  <c r="F99" i="37"/>
  <c r="E99" i="37"/>
  <c r="F98" i="37"/>
  <c r="E98" i="37"/>
  <c r="F97" i="37"/>
  <c r="E97" i="37"/>
  <c r="F96" i="37"/>
  <c r="E96" i="37"/>
  <c r="K95" i="37"/>
  <c r="J95" i="37"/>
  <c r="I95" i="37"/>
  <c r="D95" i="37"/>
  <c r="C95" i="37"/>
  <c r="K94" i="37"/>
  <c r="J94" i="37"/>
  <c r="I94" i="37"/>
  <c r="D94" i="37"/>
  <c r="C94" i="37"/>
  <c r="K93" i="37"/>
  <c r="J93" i="37"/>
  <c r="I93" i="37"/>
  <c r="D93" i="37"/>
  <c r="C93" i="37"/>
  <c r="K92" i="37"/>
  <c r="J92" i="37"/>
  <c r="I92" i="37"/>
  <c r="D92" i="37"/>
  <c r="C92" i="37"/>
  <c r="K91" i="37"/>
  <c r="J91" i="37"/>
  <c r="I91" i="37"/>
  <c r="D91" i="37"/>
  <c r="C91" i="37"/>
  <c r="K90" i="37"/>
  <c r="J90" i="37"/>
  <c r="I90" i="37"/>
  <c r="D90" i="37"/>
  <c r="C90" i="37"/>
  <c r="K89" i="37"/>
  <c r="J89" i="37"/>
  <c r="I89" i="37"/>
  <c r="D89" i="37"/>
  <c r="C89" i="37"/>
  <c r="K88" i="37"/>
  <c r="J88" i="37"/>
  <c r="I88" i="37"/>
  <c r="D88" i="37"/>
  <c r="C88" i="37"/>
  <c r="K87" i="37"/>
  <c r="J87" i="37"/>
  <c r="I87" i="37"/>
  <c r="D87" i="37"/>
  <c r="C87" i="37"/>
  <c r="K86" i="37"/>
  <c r="J86" i="37"/>
  <c r="I86" i="37"/>
  <c r="D86" i="37"/>
  <c r="C86" i="37"/>
  <c r="K85" i="37"/>
  <c r="J85" i="37"/>
  <c r="I85" i="37"/>
  <c r="D85" i="37"/>
  <c r="C85" i="37"/>
  <c r="K84" i="37"/>
  <c r="J84" i="37"/>
  <c r="I84" i="37"/>
  <c r="D84" i="37"/>
  <c r="C84" i="37"/>
  <c r="K83" i="37"/>
  <c r="J83" i="37"/>
  <c r="I83" i="37"/>
  <c r="D83" i="37"/>
  <c r="C83" i="37"/>
  <c r="K82" i="37"/>
  <c r="J82" i="37"/>
  <c r="I82" i="37"/>
  <c r="D82" i="37"/>
  <c r="C82" i="37"/>
  <c r="K81" i="37"/>
  <c r="J81" i="37"/>
  <c r="I81" i="37"/>
  <c r="D81" i="37"/>
  <c r="C81" i="37"/>
  <c r="K80" i="37"/>
  <c r="J80" i="37"/>
  <c r="I80" i="37"/>
  <c r="D80" i="37"/>
  <c r="C80" i="37"/>
  <c r="K79" i="37"/>
  <c r="J79" i="37"/>
  <c r="I79" i="37"/>
  <c r="D79" i="37"/>
  <c r="C79" i="37"/>
  <c r="K78" i="37"/>
  <c r="J78" i="37"/>
  <c r="I78" i="37"/>
  <c r="D78" i="37"/>
  <c r="C78" i="37"/>
  <c r="K77" i="37"/>
  <c r="J77" i="37"/>
  <c r="I77" i="37"/>
  <c r="D77" i="37"/>
  <c r="C77" i="37"/>
  <c r="K76" i="37"/>
  <c r="J76" i="37"/>
  <c r="I76" i="37"/>
  <c r="D76" i="37"/>
  <c r="C76" i="37"/>
  <c r="K75" i="37"/>
  <c r="J75" i="37"/>
  <c r="I75" i="37"/>
  <c r="D75" i="37"/>
  <c r="C75" i="37"/>
  <c r="K74" i="37"/>
  <c r="J74" i="37"/>
  <c r="I74" i="37"/>
  <c r="D74" i="37"/>
  <c r="C74" i="37"/>
  <c r="K73" i="37"/>
  <c r="J73" i="37"/>
  <c r="I73" i="37"/>
  <c r="D73" i="37"/>
  <c r="C73" i="37"/>
  <c r="K72" i="37"/>
  <c r="J72" i="37"/>
  <c r="I72" i="37"/>
  <c r="D72" i="37"/>
  <c r="C72" i="37"/>
  <c r="K71" i="37"/>
  <c r="J71" i="37"/>
  <c r="I71" i="37"/>
  <c r="D71" i="37"/>
  <c r="C71" i="37"/>
  <c r="K70" i="37"/>
  <c r="J70" i="37"/>
  <c r="I70" i="37"/>
  <c r="D70" i="37"/>
  <c r="C70" i="37"/>
  <c r="K69" i="37"/>
  <c r="J69" i="37"/>
  <c r="I69" i="37"/>
  <c r="D69" i="37"/>
  <c r="C69" i="37"/>
  <c r="K68" i="37"/>
  <c r="J68" i="37"/>
  <c r="I68" i="37"/>
  <c r="D68" i="37"/>
  <c r="C68" i="37"/>
  <c r="K67" i="37"/>
  <c r="J67" i="37"/>
  <c r="I67" i="37"/>
  <c r="D67" i="37"/>
  <c r="C67" i="37"/>
  <c r="K66" i="37"/>
  <c r="J66" i="37"/>
  <c r="I66" i="37"/>
  <c r="D66" i="37"/>
  <c r="C66" i="37"/>
  <c r="K65" i="37"/>
  <c r="J65" i="37"/>
  <c r="I65" i="37"/>
  <c r="D65" i="37"/>
  <c r="C65" i="37"/>
  <c r="K64" i="37"/>
  <c r="J64" i="37"/>
  <c r="I64" i="37"/>
  <c r="D64" i="37"/>
  <c r="C64" i="37"/>
  <c r="K63" i="37"/>
  <c r="J63" i="37"/>
  <c r="I63" i="37"/>
  <c r="D63" i="37"/>
  <c r="C63" i="37"/>
  <c r="K62" i="37"/>
  <c r="J62" i="37"/>
  <c r="I62" i="37"/>
  <c r="D62" i="37"/>
  <c r="C62" i="37"/>
  <c r="K61" i="37"/>
  <c r="J61" i="37"/>
  <c r="I61" i="37"/>
  <c r="D61" i="37"/>
  <c r="C61" i="37"/>
  <c r="K60" i="37"/>
  <c r="J60" i="37"/>
  <c r="I60" i="37"/>
  <c r="D60" i="37"/>
  <c r="C60" i="37"/>
  <c r="K59" i="37"/>
  <c r="J59" i="37"/>
  <c r="I59" i="37"/>
  <c r="D59" i="37"/>
  <c r="C59" i="37"/>
  <c r="K58" i="37"/>
  <c r="J58" i="37"/>
  <c r="I58" i="37"/>
  <c r="D58" i="37"/>
  <c r="C58" i="37"/>
  <c r="K57" i="37"/>
  <c r="J57" i="37"/>
  <c r="I57" i="37"/>
  <c r="D57" i="37"/>
  <c r="C57" i="37"/>
  <c r="K56" i="37"/>
  <c r="J56" i="37"/>
  <c r="I56" i="37"/>
  <c r="D56" i="37"/>
  <c r="C56" i="37"/>
  <c r="K55" i="37"/>
  <c r="J55" i="37"/>
  <c r="I55" i="37"/>
  <c r="D55" i="37"/>
  <c r="C55" i="37"/>
  <c r="K54" i="37"/>
  <c r="J54" i="37"/>
  <c r="I54" i="37"/>
  <c r="D54" i="37"/>
  <c r="C54" i="37"/>
  <c r="K53" i="37"/>
  <c r="J53" i="37"/>
  <c r="I53" i="37"/>
  <c r="D53" i="37"/>
  <c r="C53" i="37"/>
  <c r="K52" i="37"/>
  <c r="J52" i="37"/>
  <c r="I52" i="37"/>
  <c r="D52" i="37"/>
  <c r="C52" i="37"/>
  <c r="K51" i="37"/>
  <c r="J51" i="37"/>
  <c r="I51" i="37"/>
  <c r="D51" i="37"/>
  <c r="C51" i="37"/>
  <c r="K50" i="37"/>
  <c r="J50" i="37"/>
  <c r="I50" i="37"/>
  <c r="D50" i="37"/>
  <c r="C50" i="37"/>
  <c r="K49" i="37"/>
  <c r="J49" i="37"/>
  <c r="I49" i="37"/>
  <c r="D49" i="37"/>
  <c r="C49" i="37"/>
  <c r="K48" i="37"/>
  <c r="J48" i="37"/>
  <c r="I48" i="37"/>
  <c r="D48" i="37"/>
  <c r="C48" i="37"/>
  <c r="K47" i="37"/>
  <c r="J47" i="37"/>
  <c r="I47" i="37"/>
  <c r="D47" i="37"/>
  <c r="C47" i="37"/>
  <c r="K46" i="37"/>
  <c r="J46" i="37"/>
  <c r="I46" i="37"/>
  <c r="D46" i="37"/>
  <c r="C46" i="37"/>
  <c r="K45" i="37"/>
  <c r="J45" i="37"/>
  <c r="I45" i="37"/>
  <c r="D45" i="37"/>
  <c r="C45" i="37"/>
  <c r="K44" i="37"/>
  <c r="J44" i="37"/>
  <c r="I44" i="37"/>
  <c r="D44" i="37"/>
  <c r="C44" i="37"/>
  <c r="K43" i="37"/>
  <c r="J43" i="37"/>
  <c r="I43" i="37"/>
  <c r="D43" i="37"/>
  <c r="C43" i="37"/>
  <c r="K42" i="37"/>
  <c r="J42" i="37"/>
  <c r="I42" i="37"/>
  <c r="D42" i="37"/>
  <c r="C42" i="37"/>
  <c r="K41" i="37"/>
  <c r="J41" i="37"/>
  <c r="I41" i="37"/>
  <c r="D41" i="37"/>
  <c r="C41" i="37"/>
  <c r="K40" i="37"/>
  <c r="J40" i="37"/>
  <c r="I40" i="37"/>
  <c r="D40" i="37"/>
  <c r="C40" i="37"/>
  <c r="K39" i="37"/>
  <c r="J39" i="37"/>
  <c r="I39" i="37"/>
  <c r="D39" i="37"/>
  <c r="C39" i="37"/>
  <c r="K38" i="37"/>
  <c r="J38" i="37"/>
  <c r="I38" i="37"/>
  <c r="D38" i="37"/>
  <c r="C38" i="37"/>
  <c r="K37" i="37"/>
  <c r="J37" i="37"/>
  <c r="I37" i="37"/>
  <c r="D37" i="37"/>
  <c r="C37" i="37"/>
  <c r="K36" i="37"/>
  <c r="J36" i="37"/>
  <c r="I36" i="37"/>
  <c r="D36" i="37"/>
  <c r="C36" i="37"/>
  <c r="K35" i="37"/>
  <c r="J35" i="37"/>
  <c r="I35" i="37"/>
  <c r="D35" i="37"/>
  <c r="C35" i="37"/>
  <c r="K34" i="37"/>
  <c r="J34" i="37"/>
  <c r="I34" i="37"/>
  <c r="D34" i="37"/>
  <c r="C34" i="37"/>
  <c r="K33" i="37"/>
  <c r="J33" i="37"/>
  <c r="I33" i="37"/>
  <c r="D33" i="37"/>
  <c r="C33" i="37"/>
  <c r="K32" i="37"/>
  <c r="J32" i="37"/>
  <c r="I32" i="37"/>
  <c r="D32" i="37"/>
  <c r="C32" i="37"/>
  <c r="K31" i="37"/>
  <c r="J31" i="37"/>
  <c r="I31" i="37"/>
  <c r="D31" i="37"/>
  <c r="C31" i="37"/>
  <c r="K30" i="37"/>
  <c r="J30" i="37"/>
  <c r="I30" i="37"/>
  <c r="D30" i="37"/>
  <c r="C30" i="37"/>
  <c r="K29" i="37"/>
  <c r="J29" i="37"/>
  <c r="I29" i="37"/>
  <c r="D29" i="37"/>
  <c r="C29" i="37"/>
  <c r="K28" i="37"/>
  <c r="J28" i="37"/>
  <c r="I28" i="37"/>
  <c r="D28" i="37"/>
  <c r="C28" i="37"/>
  <c r="K27" i="37"/>
  <c r="J27" i="37"/>
  <c r="I27" i="37"/>
  <c r="D27" i="37"/>
  <c r="C27" i="37"/>
  <c r="K26" i="37"/>
  <c r="J26" i="37"/>
  <c r="I26" i="37"/>
  <c r="D26" i="37"/>
  <c r="C26" i="37"/>
  <c r="K25" i="37"/>
  <c r="J25" i="37"/>
  <c r="I25" i="37"/>
  <c r="D25" i="37"/>
  <c r="C25" i="37"/>
  <c r="K24" i="37"/>
  <c r="J24" i="37"/>
  <c r="I24" i="37"/>
  <c r="D24" i="37"/>
  <c r="C24" i="37"/>
  <c r="K23" i="37"/>
  <c r="J23" i="37"/>
  <c r="I23" i="37"/>
  <c r="D23" i="37"/>
  <c r="C23" i="37"/>
  <c r="K22" i="37"/>
  <c r="J22" i="37"/>
  <c r="I22" i="37"/>
  <c r="D22" i="37"/>
  <c r="C22" i="37"/>
  <c r="K21" i="37"/>
  <c r="J21" i="37"/>
  <c r="I21" i="37"/>
  <c r="D21" i="37"/>
  <c r="C21" i="37"/>
  <c r="K20" i="37"/>
  <c r="J20" i="37"/>
  <c r="I20" i="37"/>
  <c r="D20" i="37"/>
  <c r="C20" i="37"/>
  <c r="K19" i="37"/>
  <c r="J19" i="37"/>
  <c r="I19" i="37"/>
  <c r="D19" i="37"/>
  <c r="C19" i="37"/>
  <c r="K18" i="37"/>
  <c r="J18" i="37"/>
  <c r="I18" i="37"/>
  <c r="D18" i="37"/>
  <c r="C18" i="37"/>
  <c r="A18" i="37"/>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K17" i="37"/>
  <c r="J17" i="37"/>
  <c r="I17" i="37"/>
  <c r="D17" i="37"/>
  <c r="C17" i="37"/>
  <c r="S197" i="36"/>
  <c r="R197" i="36"/>
  <c r="Q197" i="36"/>
  <c r="O197" i="36"/>
  <c r="N197" i="36"/>
  <c r="M197" i="36"/>
  <c r="F197" i="36"/>
  <c r="E197" i="36"/>
  <c r="K195" i="36"/>
  <c r="J195" i="36"/>
  <c r="I195" i="36"/>
  <c r="D195" i="36"/>
  <c r="C195" i="36"/>
  <c r="K194" i="36"/>
  <c r="J194" i="36"/>
  <c r="I194" i="36"/>
  <c r="D194" i="36"/>
  <c r="C194" i="36"/>
  <c r="S184" i="36"/>
  <c r="R184" i="36"/>
  <c r="Q184" i="36"/>
  <c r="O184" i="36"/>
  <c r="N184" i="36"/>
  <c r="M184" i="36"/>
  <c r="F184" i="36"/>
  <c r="E184" i="36"/>
  <c r="F181" i="36"/>
  <c r="E181" i="36"/>
  <c r="K180" i="36"/>
  <c r="J180" i="36"/>
  <c r="I180" i="36"/>
  <c r="D180" i="36"/>
  <c r="C180" i="36"/>
  <c r="A180" i="36"/>
  <c r="A181" i="36" s="1"/>
  <c r="S177" i="36"/>
  <c r="S183" i="36" s="1"/>
  <c r="R177" i="36"/>
  <c r="R183" i="36" s="1"/>
  <c r="Q177" i="36"/>
  <c r="Q183" i="36" s="1"/>
  <c r="O177" i="36"/>
  <c r="O183" i="36" s="1"/>
  <c r="N177" i="36"/>
  <c r="N183" i="36" s="1"/>
  <c r="M177" i="36"/>
  <c r="M183" i="36" s="1"/>
  <c r="F174" i="36"/>
  <c r="E174" i="36"/>
  <c r="F173" i="36"/>
  <c r="E173" i="36"/>
  <c r="F172" i="36"/>
  <c r="E172" i="36"/>
  <c r="F171" i="36"/>
  <c r="E171" i="36"/>
  <c r="F170" i="36"/>
  <c r="E170" i="36"/>
  <c r="F169" i="36"/>
  <c r="E169" i="36"/>
  <c r="K168" i="36"/>
  <c r="J168" i="36"/>
  <c r="I168" i="36"/>
  <c r="D168" i="36"/>
  <c r="C168" i="36"/>
  <c r="K167" i="36"/>
  <c r="J167" i="36"/>
  <c r="I167" i="36"/>
  <c r="D167" i="36"/>
  <c r="C167" i="36"/>
  <c r="K166" i="36"/>
  <c r="J166" i="36"/>
  <c r="I166" i="36"/>
  <c r="D166" i="36"/>
  <c r="C166" i="36"/>
  <c r="K165" i="36"/>
  <c r="J165" i="36"/>
  <c r="I165" i="36"/>
  <c r="D165" i="36"/>
  <c r="C165" i="36"/>
  <c r="K164" i="36"/>
  <c r="J164" i="36"/>
  <c r="I164" i="36"/>
  <c r="D164" i="36"/>
  <c r="C164" i="36"/>
  <c r="K163" i="36"/>
  <c r="J163" i="36"/>
  <c r="I163" i="36"/>
  <c r="D163" i="36"/>
  <c r="C163" i="36"/>
  <c r="K162" i="36"/>
  <c r="J162" i="36"/>
  <c r="I162" i="36"/>
  <c r="D162" i="36"/>
  <c r="C162" i="36"/>
  <c r="K161" i="36"/>
  <c r="J161" i="36"/>
  <c r="I161" i="36"/>
  <c r="D161" i="36"/>
  <c r="C161" i="36"/>
  <c r="K160" i="36"/>
  <c r="J160" i="36"/>
  <c r="I160" i="36"/>
  <c r="D160" i="36"/>
  <c r="C160" i="36"/>
  <c r="K159" i="36"/>
  <c r="J159" i="36"/>
  <c r="I159" i="36"/>
  <c r="D159" i="36"/>
  <c r="C159" i="36"/>
  <c r="K158" i="36"/>
  <c r="J158" i="36"/>
  <c r="I158" i="36"/>
  <c r="D158" i="36"/>
  <c r="C158" i="36"/>
  <c r="K157" i="36"/>
  <c r="J157" i="36"/>
  <c r="I157" i="36"/>
  <c r="D157" i="36"/>
  <c r="C157" i="36"/>
  <c r="K156" i="36"/>
  <c r="J156" i="36"/>
  <c r="I156" i="36"/>
  <c r="D156" i="36"/>
  <c r="C156" i="36"/>
  <c r="K155" i="36"/>
  <c r="J155" i="36"/>
  <c r="I155" i="36"/>
  <c r="D155" i="36"/>
  <c r="C155" i="36"/>
  <c r="K154" i="36"/>
  <c r="J154" i="36"/>
  <c r="I154" i="36"/>
  <c r="D154" i="36"/>
  <c r="C154" i="36"/>
  <c r="K153" i="36"/>
  <c r="J153" i="36"/>
  <c r="I153" i="36"/>
  <c r="D153" i="36"/>
  <c r="C153" i="36"/>
  <c r="K152" i="36"/>
  <c r="J152" i="36"/>
  <c r="I152" i="36"/>
  <c r="D152" i="36"/>
  <c r="C152" i="36"/>
  <c r="K151" i="36"/>
  <c r="J151" i="36"/>
  <c r="I151" i="36"/>
  <c r="D151" i="36"/>
  <c r="C151" i="36"/>
  <c r="K150" i="36"/>
  <c r="J150" i="36"/>
  <c r="I150" i="36"/>
  <c r="D150" i="36"/>
  <c r="C150" i="36"/>
  <c r="K149" i="36"/>
  <c r="J149" i="36"/>
  <c r="I149" i="36"/>
  <c r="D149" i="36"/>
  <c r="C149" i="36"/>
  <c r="K148" i="36"/>
  <c r="J148" i="36"/>
  <c r="I148" i="36"/>
  <c r="D148" i="36"/>
  <c r="C148" i="36"/>
  <c r="K147" i="36"/>
  <c r="J147" i="36"/>
  <c r="I147" i="36"/>
  <c r="D147" i="36"/>
  <c r="C147" i="36"/>
  <c r="K146" i="36"/>
  <c r="J146" i="36"/>
  <c r="I146" i="36"/>
  <c r="D146" i="36"/>
  <c r="C146" i="36"/>
  <c r="K145" i="36"/>
  <c r="J145" i="36"/>
  <c r="I145" i="36"/>
  <c r="D145" i="36"/>
  <c r="C145" i="36"/>
  <c r="K144" i="36"/>
  <c r="J144" i="36"/>
  <c r="I144" i="36"/>
  <c r="D144" i="36"/>
  <c r="C144" i="36"/>
  <c r="K143" i="36"/>
  <c r="J143" i="36"/>
  <c r="I143" i="36"/>
  <c r="D143" i="36"/>
  <c r="C143" i="36"/>
  <c r="K142" i="36"/>
  <c r="J142" i="36"/>
  <c r="I142" i="36"/>
  <c r="D142" i="36"/>
  <c r="C142" i="36"/>
  <c r="K141" i="36"/>
  <c r="J141" i="36"/>
  <c r="I141" i="36"/>
  <c r="D141" i="36"/>
  <c r="C141" i="36"/>
  <c r="K140" i="36"/>
  <c r="J140" i="36"/>
  <c r="I140" i="36"/>
  <c r="D140" i="36"/>
  <c r="C140" i="36"/>
  <c r="K139" i="36"/>
  <c r="J139" i="36"/>
  <c r="I139" i="36"/>
  <c r="D139" i="36"/>
  <c r="C139" i="36"/>
  <c r="K138" i="36"/>
  <c r="J138" i="36"/>
  <c r="I138" i="36"/>
  <c r="D138" i="36"/>
  <c r="C138" i="36"/>
  <c r="K137" i="36"/>
  <c r="J137" i="36"/>
  <c r="I137" i="36"/>
  <c r="D137" i="36"/>
  <c r="C137" i="36"/>
  <c r="K136" i="36"/>
  <c r="J136" i="36"/>
  <c r="I136" i="36"/>
  <c r="D136" i="36"/>
  <c r="C136" i="36"/>
  <c r="K135" i="36"/>
  <c r="J135" i="36"/>
  <c r="I135" i="36"/>
  <c r="D135" i="36"/>
  <c r="C135" i="36"/>
  <c r="K134" i="36"/>
  <c r="J134" i="36"/>
  <c r="I134" i="36"/>
  <c r="D134" i="36"/>
  <c r="C134" i="36"/>
  <c r="K133" i="36"/>
  <c r="J133" i="36"/>
  <c r="I133" i="36"/>
  <c r="D133" i="36"/>
  <c r="C133" i="36"/>
  <c r="K132" i="36"/>
  <c r="J132" i="36"/>
  <c r="I132" i="36"/>
  <c r="D132" i="36"/>
  <c r="C132" i="36"/>
  <c r="K131" i="36"/>
  <c r="J131" i="36"/>
  <c r="I131" i="36"/>
  <c r="D131" i="36"/>
  <c r="C131" i="36"/>
  <c r="K130" i="36"/>
  <c r="J130" i="36"/>
  <c r="I130" i="36"/>
  <c r="D130" i="36"/>
  <c r="C130" i="36"/>
  <c r="K129" i="36"/>
  <c r="J129" i="36"/>
  <c r="I129" i="36"/>
  <c r="D129" i="36"/>
  <c r="C129" i="36"/>
  <c r="K128" i="36"/>
  <c r="J128" i="36"/>
  <c r="I128" i="36"/>
  <c r="D128" i="36"/>
  <c r="C128" i="36"/>
  <c r="K127" i="36"/>
  <c r="J127" i="36"/>
  <c r="I127" i="36"/>
  <c r="D127" i="36"/>
  <c r="C127" i="36"/>
  <c r="K126" i="36"/>
  <c r="J126" i="36"/>
  <c r="I126" i="36"/>
  <c r="D126" i="36"/>
  <c r="C126" i="36"/>
  <c r="K125" i="36"/>
  <c r="J125" i="36"/>
  <c r="I125" i="36"/>
  <c r="D125" i="36"/>
  <c r="C125" i="36"/>
  <c r="K124" i="36"/>
  <c r="J124" i="36"/>
  <c r="I124" i="36"/>
  <c r="D124" i="36"/>
  <c r="C124" i="36"/>
  <c r="K123" i="36"/>
  <c r="J123" i="36"/>
  <c r="I123" i="36"/>
  <c r="D123" i="36"/>
  <c r="C123" i="36"/>
  <c r="K122" i="36"/>
  <c r="J122" i="36"/>
  <c r="I122" i="36"/>
  <c r="D122" i="36"/>
  <c r="C122" i="36"/>
  <c r="K121" i="36"/>
  <c r="J121" i="36"/>
  <c r="I121" i="36"/>
  <c r="D121" i="36"/>
  <c r="C121" i="36"/>
  <c r="K120" i="36"/>
  <c r="J120" i="36"/>
  <c r="I120" i="36"/>
  <c r="D120" i="36"/>
  <c r="C120" i="36"/>
  <c r="K119" i="36"/>
  <c r="J119" i="36"/>
  <c r="I119" i="36"/>
  <c r="D119" i="36"/>
  <c r="C119" i="36"/>
  <c r="K118" i="36"/>
  <c r="J118" i="36"/>
  <c r="I118" i="36"/>
  <c r="D118" i="36"/>
  <c r="C118" i="36"/>
  <c r="K117" i="36"/>
  <c r="J117" i="36"/>
  <c r="I117" i="36"/>
  <c r="D117" i="36"/>
  <c r="C117" i="36"/>
  <c r="K116" i="36"/>
  <c r="J116" i="36"/>
  <c r="I116" i="36"/>
  <c r="D116" i="36"/>
  <c r="C116" i="36"/>
  <c r="K115" i="36"/>
  <c r="J115" i="36"/>
  <c r="I115" i="36"/>
  <c r="D115" i="36"/>
  <c r="C115" i="36"/>
  <c r="K114" i="36"/>
  <c r="J114" i="36"/>
  <c r="I114" i="36"/>
  <c r="D114" i="36"/>
  <c r="C114" i="36"/>
  <c r="K113" i="36"/>
  <c r="J113" i="36"/>
  <c r="I113" i="36"/>
  <c r="D113" i="36"/>
  <c r="C113" i="36"/>
  <c r="K112" i="36"/>
  <c r="J112" i="36"/>
  <c r="I112" i="36"/>
  <c r="D112" i="36"/>
  <c r="C112" i="36"/>
  <c r="K111" i="36"/>
  <c r="J111" i="36"/>
  <c r="I111" i="36"/>
  <c r="D111" i="36"/>
  <c r="C111" i="36"/>
  <c r="K110" i="36"/>
  <c r="J110" i="36"/>
  <c r="I110" i="36"/>
  <c r="D110" i="36"/>
  <c r="C110" i="36"/>
  <c r="K109" i="36"/>
  <c r="J109" i="36"/>
  <c r="I109" i="36"/>
  <c r="D109" i="36"/>
  <c r="C109" i="36"/>
  <c r="K108" i="36"/>
  <c r="J108" i="36"/>
  <c r="I108" i="36"/>
  <c r="D108" i="36"/>
  <c r="C108" i="36"/>
  <c r="K107" i="36"/>
  <c r="J107" i="36"/>
  <c r="I107" i="36"/>
  <c r="D107" i="36"/>
  <c r="C107" i="36"/>
  <c r="K106" i="36"/>
  <c r="J106" i="36"/>
  <c r="I106" i="36"/>
  <c r="D106" i="36"/>
  <c r="C106" i="36"/>
  <c r="K105" i="36"/>
  <c r="J105" i="36"/>
  <c r="I105" i="36"/>
  <c r="D105" i="36"/>
  <c r="C105" i="36"/>
  <c r="K104" i="36"/>
  <c r="J104" i="36"/>
  <c r="I104" i="36"/>
  <c r="D104" i="36"/>
  <c r="C104" i="36"/>
  <c r="K103" i="36"/>
  <c r="J103" i="36"/>
  <c r="I103" i="36"/>
  <c r="D103" i="36"/>
  <c r="C103" i="36"/>
  <c r="K102" i="36"/>
  <c r="J102" i="36"/>
  <c r="I102" i="36"/>
  <c r="D102" i="36"/>
  <c r="C102" i="36"/>
  <c r="K101" i="36"/>
  <c r="J101" i="36"/>
  <c r="I101" i="36"/>
  <c r="D101" i="36"/>
  <c r="C101" i="36"/>
  <c r="K100" i="36"/>
  <c r="J100" i="36"/>
  <c r="I100" i="36"/>
  <c r="D100" i="36"/>
  <c r="C100" i="36"/>
  <c r="K99" i="36"/>
  <c r="J99" i="36"/>
  <c r="I99" i="36"/>
  <c r="D99" i="36"/>
  <c r="C99" i="36"/>
  <c r="K98" i="36"/>
  <c r="J98" i="36"/>
  <c r="I98" i="36"/>
  <c r="D98" i="36"/>
  <c r="C98" i="36"/>
  <c r="K97" i="36"/>
  <c r="J97" i="36"/>
  <c r="I97" i="36"/>
  <c r="D97" i="36"/>
  <c r="C97" i="36"/>
  <c r="K96" i="36"/>
  <c r="J96" i="36"/>
  <c r="I96" i="36"/>
  <c r="D96" i="36"/>
  <c r="C96" i="36"/>
  <c r="K95" i="36"/>
  <c r="J95" i="36"/>
  <c r="I95" i="36"/>
  <c r="D95" i="36"/>
  <c r="C95" i="36"/>
  <c r="K94" i="36"/>
  <c r="J94" i="36"/>
  <c r="I94" i="36"/>
  <c r="D94" i="36"/>
  <c r="C94" i="36"/>
  <c r="K93" i="36"/>
  <c r="J93" i="36"/>
  <c r="I93" i="36"/>
  <c r="D93" i="36"/>
  <c r="C93" i="36"/>
  <c r="K92" i="36"/>
  <c r="J92" i="36"/>
  <c r="I92" i="36"/>
  <c r="D92" i="36"/>
  <c r="C92" i="36"/>
  <c r="K91" i="36"/>
  <c r="J91" i="36"/>
  <c r="I91" i="36"/>
  <c r="D91" i="36"/>
  <c r="C91" i="36"/>
  <c r="K90" i="36"/>
  <c r="J90" i="36"/>
  <c r="I90" i="36"/>
  <c r="D90" i="36"/>
  <c r="C90" i="36"/>
  <c r="K89" i="36"/>
  <c r="J89" i="36"/>
  <c r="I89" i="36"/>
  <c r="D89" i="36"/>
  <c r="C89" i="36"/>
  <c r="K88" i="36"/>
  <c r="J88" i="36"/>
  <c r="I88" i="36"/>
  <c r="D88" i="36"/>
  <c r="C88" i="36"/>
  <c r="K87" i="36"/>
  <c r="J87" i="36"/>
  <c r="I87" i="36"/>
  <c r="D87" i="36"/>
  <c r="C87" i="36"/>
  <c r="K86" i="36"/>
  <c r="J86" i="36"/>
  <c r="I86" i="36"/>
  <c r="D86" i="36"/>
  <c r="C86" i="36"/>
  <c r="K85" i="36"/>
  <c r="J85" i="36"/>
  <c r="I85" i="36"/>
  <c r="D85" i="36"/>
  <c r="C85" i="36"/>
  <c r="K84" i="36"/>
  <c r="J84" i="36"/>
  <c r="I84" i="36"/>
  <c r="D84" i="36"/>
  <c r="C84" i="36"/>
  <c r="K83" i="36"/>
  <c r="J83" i="36"/>
  <c r="I83" i="36"/>
  <c r="D83" i="36"/>
  <c r="C83" i="36"/>
  <c r="K82" i="36"/>
  <c r="J82" i="36"/>
  <c r="I82" i="36"/>
  <c r="D82" i="36"/>
  <c r="C82" i="36"/>
  <c r="K81" i="36"/>
  <c r="J81" i="36"/>
  <c r="I81" i="36"/>
  <c r="D81" i="36"/>
  <c r="C81" i="36"/>
  <c r="K80" i="36"/>
  <c r="J80" i="36"/>
  <c r="I80" i="36"/>
  <c r="D80" i="36"/>
  <c r="C80" i="36"/>
  <c r="K79" i="36"/>
  <c r="J79" i="36"/>
  <c r="I79" i="36"/>
  <c r="D79" i="36"/>
  <c r="C79" i="36"/>
  <c r="K78" i="36"/>
  <c r="J78" i="36"/>
  <c r="I78" i="36"/>
  <c r="D78" i="36"/>
  <c r="C78" i="36"/>
  <c r="K77" i="36"/>
  <c r="J77" i="36"/>
  <c r="I77" i="36"/>
  <c r="D77" i="36"/>
  <c r="C77" i="36"/>
  <c r="A77" i="36"/>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K76" i="36"/>
  <c r="J76" i="36"/>
  <c r="I76" i="36"/>
  <c r="D76" i="36"/>
  <c r="C76" i="36"/>
  <c r="S72" i="36"/>
  <c r="R72" i="36"/>
  <c r="Q72" i="36"/>
  <c r="O72" i="36"/>
  <c r="N72" i="36"/>
  <c r="M72" i="36"/>
  <c r="F72" i="36"/>
  <c r="E72" i="36"/>
  <c r="A72" i="36"/>
  <c r="D26" i="5" s="1"/>
  <c r="S71" i="36"/>
  <c r="R71" i="36"/>
  <c r="Q71" i="36"/>
  <c r="O71" i="36"/>
  <c r="N71" i="36"/>
  <c r="M71" i="36"/>
  <c r="F68" i="36"/>
  <c r="E68" i="36"/>
  <c r="F67" i="36"/>
  <c r="E67" i="36"/>
  <c r="F66" i="36"/>
  <c r="E66" i="36"/>
  <c r="K65" i="36"/>
  <c r="J65" i="36"/>
  <c r="I65" i="36"/>
  <c r="D65" i="36"/>
  <c r="C65" i="36"/>
  <c r="K64" i="36"/>
  <c r="J64" i="36"/>
  <c r="I64" i="36"/>
  <c r="D64" i="36"/>
  <c r="C64" i="36"/>
  <c r="K63" i="36"/>
  <c r="J63" i="36"/>
  <c r="I63" i="36"/>
  <c r="D63" i="36"/>
  <c r="C63" i="36"/>
  <c r="K62" i="36"/>
  <c r="J62" i="36"/>
  <c r="I62" i="36"/>
  <c r="D62" i="36"/>
  <c r="C62" i="36"/>
  <c r="K61" i="36"/>
  <c r="J61" i="36"/>
  <c r="I61" i="36"/>
  <c r="D61" i="36"/>
  <c r="C61" i="36"/>
  <c r="K60" i="36"/>
  <c r="J60" i="36"/>
  <c r="I60" i="36"/>
  <c r="D60" i="36"/>
  <c r="C60" i="36"/>
  <c r="K59" i="36"/>
  <c r="J59" i="36"/>
  <c r="I59" i="36"/>
  <c r="D59" i="36"/>
  <c r="C59" i="36"/>
  <c r="K58" i="36"/>
  <c r="J58" i="36"/>
  <c r="I58" i="36"/>
  <c r="D58" i="36"/>
  <c r="C58" i="36"/>
  <c r="K57" i="36"/>
  <c r="J57" i="36"/>
  <c r="I57" i="36"/>
  <c r="D57" i="36"/>
  <c r="C57" i="36"/>
  <c r="K56" i="36"/>
  <c r="J56" i="36"/>
  <c r="I56" i="36"/>
  <c r="D56" i="36"/>
  <c r="C56" i="36"/>
  <c r="K55" i="36"/>
  <c r="J55" i="36"/>
  <c r="I55" i="36"/>
  <c r="D55" i="36"/>
  <c r="C55" i="36"/>
  <c r="K54" i="36"/>
  <c r="J54" i="36"/>
  <c r="I54" i="36"/>
  <c r="D54" i="36"/>
  <c r="C54" i="36"/>
  <c r="K53" i="36"/>
  <c r="J53" i="36"/>
  <c r="I53" i="36"/>
  <c r="D53" i="36"/>
  <c r="C53" i="36"/>
  <c r="K52" i="36"/>
  <c r="J52" i="36"/>
  <c r="I52" i="36"/>
  <c r="D52" i="36"/>
  <c r="C52" i="36"/>
  <c r="K51" i="36"/>
  <c r="J51" i="36"/>
  <c r="I51" i="36"/>
  <c r="D51" i="36"/>
  <c r="C51" i="36"/>
  <c r="K50" i="36"/>
  <c r="J50" i="36"/>
  <c r="I50" i="36"/>
  <c r="D50" i="36"/>
  <c r="C50" i="36"/>
  <c r="K49" i="36"/>
  <c r="J49" i="36"/>
  <c r="I49" i="36"/>
  <c r="D49" i="36"/>
  <c r="C49" i="36"/>
  <c r="K48" i="36"/>
  <c r="J48" i="36"/>
  <c r="I48" i="36"/>
  <c r="D48" i="36"/>
  <c r="C48" i="36"/>
  <c r="K47" i="36"/>
  <c r="J47" i="36"/>
  <c r="I47" i="36"/>
  <c r="D47" i="36"/>
  <c r="C47" i="36"/>
  <c r="K46" i="36"/>
  <c r="J46" i="36"/>
  <c r="I46" i="36"/>
  <c r="D46" i="36"/>
  <c r="C46" i="36"/>
  <c r="K45" i="36"/>
  <c r="J45" i="36"/>
  <c r="I45" i="36"/>
  <c r="D45" i="36"/>
  <c r="C45" i="36"/>
  <c r="K44" i="36"/>
  <c r="J44" i="36"/>
  <c r="I44" i="36"/>
  <c r="D44" i="36"/>
  <c r="C44" i="36"/>
  <c r="K43" i="36"/>
  <c r="J43" i="36"/>
  <c r="I43" i="36"/>
  <c r="D43" i="36"/>
  <c r="C43" i="36"/>
  <c r="K42" i="36"/>
  <c r="J42" i="36"/>
  <c r="I42" i="36"/>
  <c r="D42" i="36"/>
  <c r="C42" i="36"/>
  <c r="K41" i="36"/>
  <c r="J41" i="36"/>
  <c r="I41" i="36"/>
  <c r="D41" i="36"/>
  <c r="C41" i="36"/>
  <c r="K40" i="36"/>
  <c r="J40" i="36"/>
  <c r="I40" i="36"/>
  <c r="D40" i="36"/>
  <c r="C40" i="36"/>
  <c r="K39" i="36"/>
  <c r="J39" i="36"/>
  <c r="I39" i="36"/>
  <c r="D39" i="36"/>
  <c r="C39" i="36"/>
  <c r="K38" i="36"/>
  <c r="J38" i="36"/>
  <c r="I38" i="36"/>
  <c r="D38" i="36"/>
  <c r="C38" i="36"/>
  <c r="K37" i="36"/>
  <c r="J37" i="36"/>
  <c r="I37" i="36"/>
  <c r="D37" i="36"/>
  <c r="C37" i="36"/>
  <c r="K36" i="36"/>
  <c r="J36" i="36"/>
  <c r="I36" i="36"/>
  <c r="D36" i="36"/>
  <c r="C36" i="36"/>
  <c r="K35" i="36"/>
  <c r="J35" i="36"/>
  <c r="I35" i="36"/>
  <c r="D35" i="36"/>
  <c r="C35" i="36"/>
  <c r="K34" i="36"/>
  <c r="J34" i="36"/>
  <c r="I34" i="36"/>
  <c r="D34" i="36"/>
  <c r="C34" i="36"/>
  <c r="K33" i="36"/>
  <c r="J33" i="36"/>
  <c r="I33" i="36"/>
  <c r="D33" i="36"/>
  <c r="C33" i="36"/>
  <c r="K32" i="36"/>
  <c r="J32" i="36"/>
  <c r="I32" i="36"/>
  <c r="D32" i="36"/>
  <c r="C32" i="36"/>
  <c r="K31" i="36"/>
  <c r="J31" i="36"/>
  <c r="I31" i="36"/>
  <c r="D31" i="36"/>
  <c r="C31" i="36"/>
  <c r="K30" i="36"/>
  <c r="J30" i="36"/>
  <c r="I30" i="36"/>
  <c r="D30" i="36"/>
  <c r="C30" i="36"/>
  <c r="K29" i="36"/>
  <c r="J29" i="36"/>
  <c r="I29" i="36"/>
  <c r="D29" i="36"/>
  <c r="C29" i="36"/>
  <c r="A29" i="36"/>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K28" i="36"/>
  <c r="J28" i="36"/>
  <c r="I28" i="36"/>
  <c r="D28" i="36"/>
  <c r="C28"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G10" i="5"/>
  <c r="E10" i="5"/>
  <c r="O8" i="13"/>
  <c r="C9" i="7"/>
  <c r="D12" i="9"/>
  <c r="E71" i="6"/>
  <c r="I76" i="6"/>
  <c r="K76" i="6" s="1"/>
  <c r="J78" i="6"/>
  <c r="K78" i="6" s="1"/>
  <c r="E78" i="6" s="1"/>
  <c r="J53" i="6"/>
  <c r="K53" i="6" s="1"/>
  <c r="E53" i="6" s="1"/>
  <c r="J55" i="6"/>
  <c r="K55" i="6" s="1"/>
  <c r="E55" i="6" s="1"/>
  <c r="I52" i="6"/>
  <c r="K52" i="6" s="1"/>
  <c r="E52" i="6" s="1"/>
  <c r="E17" i="2"/>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D313"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F7" i="2"/>
  <c r="F53" i="2" s="1"/>
  <c r="F123" i="2" s="1"/>
  <c r="F204" i="2" s="1"/>
  <c r="F275" i="2" s="1"/>
  <c r="C112" i="34"/>
  <c r="J24" i="34"/>
  <c r="K74" i="6"/>
  <c r="E198" i="34"/>
  <c r="E186" i="34"/>
  <c r="G81" i="6"/>
  <c r="G32" i="6" s="1"/>
  <c r="H229" i="2"/>
  <c r="K73" i="6"/>
  <c r="K72" i="6"/>
  <c r="E72" i="6" s="1"/>
  <c r="K71" i="6"/>
  <c r="K70" i="6"/>
  <c r="E70" i="6" s="1"/>
  <c r="K69" i="6"/>
  <c r="E69" i="6" s="1"/>
  <c r="K68" i="6"/>
  <c r="E68" i="6" s="1"/>
  <c r="G51" i="5"/>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E53" i="11" s="1"/>
  <c r="E55" i="11" s="1"/>
  <c r="I51" i="11"/>
  <c r="I53" i="11" s="1"/>
  <c r="I55" i="11" s="1"/>
  <c r="E66" i="11"/>
  <c r="E56" i="11"/>
  <c r="I66" i="11"/>
  <c r="I56" i="11"/>
  <c r="C50" i="11"/>
  <c r="M41" i="11"/>
  <c r="L229" i="2"/>
  <c r="C31" i="34"/>
  <c r="C32" i="34" s="1"/>
  <c r="C37" i="34"/>
  <c r="C38" i="34" s="1"/>
  <c r="C43" i="34"/>
  <c r="C49" i="34"/>
  <c r="C50" i="34" s="1"/>
  <c r="E31" i="34"/>
  <c r="E32" i="34" s="1"/>
  <c r="E37" i="34"/>
  <c r="E43" i="34"/>
  <c r="E44" i="34" s="1"/>
  <c r="E49" i="34"/>
  <c r="E50" i="34" s="1"/>
  <c r="F31" i="34"/>
  <c r="F32" i="34" s="1"/>
  <c r="F37" i="34"/>
  <c r="F38" i="34" s="1"/>
  <c r="F43" i="34"/>
  <c r="F44" i="34" s="1"/>
  <c r="F49" i="34"/>
  <c r="F50" i="34" s="1"/>
  <c r="G31" i="34"/>
  <c r="G32" i="34" s="1"/>
  <c r="G37" i="34"/>
  <c r="G38" i="34" s="1"/>
  <c r="G43" i="34"/>
  <c r="G44" i="34" s="1"/>
  <c r="G49" i="34"/>
  <c r="G50" i="34" s="1"/>
  <c r="H31" i="34"/>
  <c r="H32" i="34" s="1"/>
  <c r="H37" i="34"/>
  <c r="H38" i="34" s="1"/>
  <c r="H43" i="34"/>
  <c r="H44" i="34" s="1"/>
  <c r="H49" i="34"/>
  <c r="H50" i="34" s="1"/>
  <c r="I31" i="34"/>
  <c r="I32" i="34" s="1"/>
  <c r="I37" i="34"/>
  <c r="I38" i="34" s="1"/>
  <c r="I43" i="34"/>
  <c r="I44" i="34" s="1"/>
  <c r="I49" i="34"/>
  <c r="I50" i="34" s="1"/>
  <c r="F19" i="10"/>
  <c r="F23" i="10"/>
  <c r="F27" i="10"/>
  <c r="C14" i="34"/>
  <c r="C63" i="34" s="1"/>
  <c r="J10" i="34"/>
  <c r="J9" i="34"/>
  <c r="J11" i="34"/>
  <c r="J13" i="34"/>
  <c r="J56" i="34"/>
  <c r="J58" i="34"/>
  <c r="J59" i="34"/>
  <c r="F14" i="34"/>
  <c r="F63" i="34" s="1"/>
  <c r="G14" i="34"/>
  <c r="G63" i="34" s="1"/>
  <c r="H14" i="34"/>
  <c r="H63" i="34" s="1"/>
  <c r="I14" i="34"/>
  <c r="I63" i="34" s="1"/>
  <c r="J19" i="34"/>
  <c r="J20" i="34"/>
  <c r="J21" i="34"/>
  <c r="J22" i="34"/>
  <c r="J23" i="34"/>
  <c r="D21" i="9"/>
  <c r="G139" i="2" s="1"/>
  <c r="G57" i="6"/>
  <c r="G31" i="6" s="1"/>
  <c r="C21" i="7"/>
  <c r="G116" i="2" s="1"/>
  <c r="L116" i="2" s="1"/>
  <c r="O17" i="21"/>
  <c r="O22" i="21"/>
  <c r="O27" i="21"/>
  <c r="A10" i="34"/>
  <c r="A11" i="34" s="1"/>
  <c r="A12" i="34" s="1"/>
  <c r="A13" i="34" s="1"/>
  <c r="A14" i="34" s="1"/>
  <c r="A19" i="9"/>
  <c r="A20" i="9" s="1"/>
  <c r="A21" i="9" s="1"/>
  <c r="F118" i="34"/>
  <c r="F119" i="34" s="1"/>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30" i="34"/>
  <c r="E131" i="34" s="1"/>
  <c r="E136" i="34"/>
  <c r="E137" i="34" s="1"/>
  <c r="G118" i="34"/>
  <c r="G119" i="34" s="1"/>
  <c r="G124" i="34"/>
  <c r="G125" i="34" s="1"/>
  <c r="G130" i="34"/>
  <c r="G131" i="34" s="1"/>
  <c r="G136" i="34"/>
  <c r="G137" i="34" s="1"/>
  <c r="H118" i="34"/>
  <c r="H119" i="34" s="1"/>
  <c r="H124" i="34"/>
  <c r="H130" i="34"/>
  <c r="H131" i="34" s="1"/>
  <c r="H136" i="34"/>
  <c r="H137" i="34" s="1"/>
  <c r="I118" i="34"/>
  <c r="I119" i="34" s="1"/>
  <c r="I124" i="34"/>
  <c r="I125" i="34" s="1"/>
  <c r="I130" i="34"/>
  <c r="I136" i="34"/>
  <c r="I137" i="34" s="1"/>
  <c r="C118" i="34"/>
  <c r="C119" i="34" s="1"/>
  <c r="C124" i="34"/>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J183" i="34" s="1"/>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L260" i="2" s="1"/>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C150" i="34" s="1"/>
  <c r="E101" i="34"/>
  <c r="E150" i="34" s="1"/>
  <c r="F101" i="34"/>
  <c r="G101" i="34"/>
  <c r="G150" i="34" s="1"/>
  <c r="H101" i="34"/>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21" i="6"/>
  <c r="G108" i="2" s="1"/>
  <c r="I23" i="6"/>
  <c r="G109" i="2" s="1"/>
  <c r="I52" i="5"/>
  <c r="L95" i="2" s="1"/>
  <c r="G193" i="2"/>
  <c r="L193" i="2" s="1"/>
  <c r="A14" i="31"/>
  <c r="A22" i="31" s="1"/>
  <c r="C60" i="13"/>
  <c r="K33" i="21"/>
  <c r="A22" i="21"/>
  <c r="A27" i="21" s="1"/>
  <c r="A33" i="21" s="1"/>
  <c r="D195" i="2" s="1"/>
  <c r="A6" i="21"/>
  <c r="M20" i="13"/>
  <c r="L26" i="20"/>
  <c r="I1350" i="20" s="1"/>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E53" i="9"/>
  <c r="E54" i="9"/>
  <c r="E55" i="9"/>
  <c r="E56" i="9"/>
  <c r="E57" i="9"/>
  <c r="E58" i="9"/>
  <c r="E59" i="9"/>
  <c r="E60" i="9"/>
  <c r="E61" i="9"/>
  <c r="E62" i="9"/>
  <c r="J13" i="8"/>
  <c r="A15" i="8"/>
  <c r="A17" i="8" s="1"/>
  <c r="J15" i="8"/>
  <c r="A27" i="8"/>
  <c r="A29" i="8" s="1"/>
  <c r="A31" i="8" s="1"/>
  <c r="E15" i="2" s="1"/>
  <c r="J19" i="8"/>
  <c r="J29" i="8"/>
  <c r="A15" i="7"/>
  <c r="A17" i="7" s="1"/>
  <c r="A18" i="7" s="1"/>
  <c r="A19" i="7" s="1"/>
  <c r="A21" i="7" s="1"/>
  <c r="A17" i="6"/>
  <c r="E106" i="2" s="1"/>
  <c r="A17" i="5"/>
  <c r="A18" i="5" s="1"/>
  <c r="A19" i="5" s="1"/>
  <c r="A20" i="5" s="1"/>
  <c r="A23" i="5" s="1"/>
  <c r="A25" i="5" s="1"/>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B15" i="2"/>
  <c r="E18" i="2" s="1"/>
  <c r="E25" i="34"/>
  <c r="E14" i="34"/>
  <c r="E63" i="34" s="1"/>
  <c r="J12" i="34"/>
  <c r="C25" i="34"/>
  <c r="C198" i="34"/>
  <c r="L87" i="13"/>
  <c r="I44" i="6"/>
  <c r="K44" i="6" s="1"/>
  <c r="E44" i="6" s="1"/>
  <c r="J80" i="6"/>
  <c r="K80" i="6" s="1"/>
  <c r="I75" i="6"/>
  <c r="K75" i="6" s="1"/>
  <c r="I50" i="6"/>
  <c r="K50" i="6" s="1"/>
  <c r="E50" i="6" s="1"/>
  <c r="J79" i="6"/>
  <c r="E74" i="6"/>
  <c r="J56" i="6"/>
  <c r="K56" i="6" s="1"/>
  <c r="J77" i="6"/>
  <c r="K77" i="6" s="1"/>
  <c r="E77" i="6" s="1"/>
  <c r="I45" i="6"/>
  <c r="K45" i="6" s="1"/>
  <c r="E45" i="6" s="1"/>
  <c r="I51" i="6"/>
  <c r="K51" i="6" s="1"/>
  <c r="E51" i="6" s="1"/>
  <c r="J54" i="6"/>
  <c r="K54" i="6" s="1"/>
  <c r="E54" i="6" s="1"/>
  <c r="I47" i="6"/>
  <c r="K47" i="6" s="1"/>
  <c r="E47" i="6" s="1"/>
  <c r="I48" i="6"/>
  <c r="K48" i="6" s="1"/>
  <c r="E48" i="6" s="1"/>
  <c r="I46" i="6"/>
  <c r="K46" i="6" s="1"/>
  <c r="E46" i="6" s="1"/>
  <c r="I49" i="6"/>
  <c r="K49" i="6" s="1"/>
  <c r="E49" i="6" s="1"/>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L244" i="2"/>
  <c r="G42" i="39"/>
  <c r="D42" i="39"/>
  <c r="C42" i="39"/>
  <c r="L245" i="2"/>
  <c r="J97" i="13"/>
  <c r="E100" i="13" s="1"/>
  <c r="M100" i="13"/>
  <c r="M101" i="13"/>
  <c r="O100" i="13"/>
  <c r="O101" i="13"/>
  <c r="L243" i="2"/>
  <c r="G250" i="2" s="1"/>
  <c r="J250" i="2" s="1"/>
  <c r="E22" i="13" s="1"/>
  <c r="E74" i="39"/>
  <c r="E76" i="39" s="1"/>
  <c r="E51" i="5"/>
  <c r="I49" i="5"/>
  <c r="E37" i="31"/>
  <c r="E22" i="11" s="1"/>
  <c r="G22" i="11" s="1"/>
  <c r="I38" i="31"/>
  <c r="E65" i="2" l="1"/>
  <c r="F29" i="10"/>
  <c r="F357" i="2" s="1"/>
  <c r="G177" i="2" s="1"/>
  <c r="G181" i="2" s="1"/>
  <c r="G186" i="2" s="1"/>
  <c r="I1170" i="20"/>
  <c r="I1260" i="20"/>
  <c r="I1080" i="20"/>
  <c r="G58" i="37"/>
  <c r="G66" i="37"/>
  <c r="G90" i="37"/>
  <c r="G94" i="37"/>
  <c r="C79" i="34"/>
  <c r="J77" i="13"/>
  <c r="E98" i="2"/>
  <c r="G40" i="36"/>
  <c r="G139" i="36"/>
  <c r="G33" i="36"/>
  <c r="C197" i="36"/>
  <c r="I51" i="5"/>
  <c r="G95" i="2" s="1"/>
  <c r="H166" i="34"/>
  <c r="G100" i="36"/>
  <c r="G195" i="36"/>
  <c r="G27" i="37"/>
  <c r="H150" i="34"/>
  <c r="D110" i="37"/>
  <c r="G137" i="36"/>
  <c r="G169" i="36"/>
  <c r="C110" i="37"/>
  <c r="G165" i="36"/>
  <c r="G35" i="36"/>
  <c r="G59" i="36"/>
  <c r="G111" i="36"/>
  <c r="G119" i="36"/>
  <c r="G143" i="36"/>
  <c r="G83" i="36"/>
  <c r="D197" i="36"/>
  <c r="G80" i="36"/>
  <c r="G128" i="36"/>
  <c r="G168" i="36"/>
  <c r="G31" i="37"/>
  <c r="G134" i="36"/>
  <c r="G29" i="37"/>
  <c r="G21" i="36"/>
  <c r="G21" i="37"/>
  <c r="D184" i="36"/>
  <c r="G150" i="36"/>
  <c r="G78" i="36"/>
  <c r="G126" i="36"/>
  <c r="G53" i="37"/>
  <c r="E199" i="34"/>
  <c r="G75" i="37"/>
  <c r="G82" i="37"/>
  <c r="G102" i="37"/>
  <c r="C184" i="36"/>
  <c r="G81" i="37"/>
  <c r="G77" i="37"/>
  <c r="A183" i="36"/>
  <c r="A184" i="36" s="1"/>
  <c r="D34" i="5" s="1"/>
  <c r="C166" i="34"/>
  <c r="G36" i="36"/>
  <c r="I53" i="34"/>
  <c r="I203" i="34" s="1"/>
  <c r="G136" i="36"/>
  <c r="G79" i="36"/>
  <c r="G87" i="36"/>
  <c r="G146" i="36"/>
  <c r="G162" i="36"/>
  <c r="K197" i="36"/>
  <c r="G22" i="37"/>
  <c r="G38" i="37"/>
  <c r="G46" i="37"/>
  <c r="G49" i="37"/>
  <c r="G54" i="37"/>
  <c r="G48" i="36"/>
  <c r="G92" i="36"/>
  <c r="I184" i="36"/>
  <c r="G140" i="36"/>
  <c r="G59" i="37"/>
  <c r="G67" i="37"/>
  <c r="I166" i="34"/>
  <c r="E61" i="11"/>
  <c r="E63" i="11" s="1"/>
  <c r="E65" i="11" s="1"/>
  <c r="G50" i="37"/>
  <c r="I72" i="36"/>
  <c r="G145" i="36"/>
  <c r="G79" i="34"/>
  <c r="F79" i="34"/>
  <c r="H199" i="34"/>
  <c r="G91" i="36"/>
  <c r="G115" i="36"/>
  <c r="G131" i="36"/>
  <c r="J124" i="34"/>
  <c r="G17" i="37"/>
  <c r="G41" i="37"/>
  <c r="G57" i="37"/>
  <c r="G60" i="37"/>
  <c r="G73" i="37"/>
  <c r="J110" i="37"/>
  <c r="G79" i="37"/>
  <c r="G98" i="37"/>
  <c r="F87" i="38"/>
  <c r="G102" i="2" s="1"/>
  <c r="G19" i="36"/>
  <c r="G46" i="36"/>
  <c r="G82" i="36"/>
  <c r="G114" i="36"/>
  <c r="G28" i="37"/>
  <c r="G36" i="37"/>
  <c r="G33" i="37"/>
  <c r="G20" i="36"/>
  <c r="G56" i="36"/>
  <c r="G84" i="36"/>
  <c r="G172" i="36"/>
  <c r="I37" i="31"/>
  <c r="G29" i="36"/>
  <c r="G34" i="36"/>
  <c r="G37" i="36"/>
  <c r="G42" i="36"/>
  <c r="G53" i="36"/>
  <c r="G81" i="36"/>
  <c r="K184" i="36"/>
  <c r="G113" i="36"/>
  <c r="G118" i="36"/>
  <c r="G158" i="36"/>
  <c r="G181" i="36"/>
  <c r="G56" i="37"/>
  <c r="G72" i="37"/>
  <c r="G78" i="37"/>
  <c r="G83" i="37"/>
  <c r="G91" i="37"/>
  <c r="C23" i="7"/>
  <c r="G55" i="36"/>
  <c r="G107" i="36"/>
  <c r="G123" i="36"/>
  <c r="G155" i="36"/>
  <c r="G61" i="37"/>
  <c r="G69" i="37"/>
  <c r="G80" i="37"/>
  <c r="G88" i="37"/>
  <c r="G166" i="34"/>
  <c r="C125" i="34"/>
  <c r="C140" i="34" s="1"/>
  <c r="G106" i="36"/>
  <c r="G85" i="36"/>
  <c r="G93" i="36"/>
  <c r="G101" i="36"/>
  <c r="G109" i="36"/>
  <c r="G144" i="36"/>
  <c r="G149" i="36"/>
  <c r="G157" i="36"/>
  <c r="G160" i="36"/>
  <c r="G39" i="37"/>
  <c r="G47" i="37"/>
  <c r="G63" i="37"/>
  <c r="G71" i="37"/>
  <c r="G93" i="37"/>
  <c r="G104" i="37"/>
  <c r="G107" i="37"/>
  <c r="G44" i="36"/>
  <c r="G49" i="36"/>
  <c r="G105" i="36"/>
  <c r="G147" i="36"/>
  <c r="G103" i="37"/>
  <c r="I199" i="34"/>
  <c r="N89" i="13"/>
  <c r="O22" i="13" s="1"/>
  <c r="G138" i="36"/>
  <c r="J184" i="36"/>
  <c r="G152" i="36"/>
  <c r="G166" i="36"/>
  <c r="G24" i="37"/>
  <c r="G32" i="37"/>
  <c r="G35" i="37"/>
  <c r="G51" i="37"/>
  <c r="G96" i="37"/>
  <c r="J194" i="34"/>
  <c r="G43" i="36"/>
  <c r="G51" i="36"/>
  <c r="G62" i="36"/>
  <c r="G68" i="36"/>
  <c r="G121" i="36"/>
  <c r="G124" i="36"/>
  <c r="G135" i="36"/>
  <c r="G48" i="37"/>
  <c r="G70" i="37"/>
  <c r="G76" i="37"/>
  <c r="F109" i="37"/>
  <c r="G90" i="36"/>
  <c r="G18" i="37"/>
  <c r="G42" i="37"/>
  <c r="G95" i="37"/>
  <c r="O33" i="21"/>
  <c r="G195" i="2" s="1"/>
  <c r="J25" i="34"/>
  <c r="G76" i="36"/>
  <c r="G159" i="36"/>
  <c r="J197" i="36"/>
  <c r="G64" i="37"/>
  <c r="G92" i="37"/>
  <c r="G31" i="36"/>
  <c r="G58" i="36"/>
  <c r="E71" i="36"/>
  <c r="G117" i="36"/>
  <c r="G164" i="36"/>
  <c r="G167" i="36"/>
  <c r="G89" i="37"/>
  <c r="G106" i="37"/>
  <c r="E242" i="2"/>
  <c r="A29" i="39"/>
  <c r="A30" i="39" s="1"/>
  <c r="A31" i="39" s="1"/>
  <c r="A32" i="39" s="1"/>
  <c r="A33" i="39" s="1"/>
  <c r="A34" i="39" s="1"/>
  <c r="A35" i="39" s="1"/>
  <c r="A36" i="39" s="1"/>
  <c r="A37" i="39" s="1"/>
  <c r="A38" i="39" s="1"/>
  <c r="A39" i="39" s="1"/>
  <c r="A40" i="39" s="1"/>
  <c r="A41" i="39" s="1"/>
  <c r="A42" i="39" s="1"/>
  <c r="A48" i="39" s="1"/>
  <c r="A49" i="39" s="1"/>
  <c r="E244" i="2"/>
  <c r="E171" i="2"/>
  <c r="A23" i="31"/>
  <c r="A30" i="31" s="1"/>
  <c r="A37" i="31" s="1"/>
  <c r="A40" i="31" s="1"/>
  <c r="A49" i="31" s="1"/>
  <c r="A50" i="31" s="1"/>
  <c r="A52" i="31" s="1"/>
  <c r="A54" i="31" s="1"/>
  <c r="A58" i="31" s="1"/>
  <c r="A59" i="31" s="1"/>
  <c r="A61" i="31" s="1"/>
  <c r="A62" i="31" s="1"/>
  <c r="A65" i="31" s="1"/>
  <c r="A69" i="31" s="1"/>
  <c r="A81" i="31" s="1"/>
  <c r="A86" i="31" s="1"/>
  <c r="A89" i="31" s="1"/>
  <c r="A95" i="31" s="1"/>
  <c r="A98" i="31" s="1"/>
  <c r="A101" i="31" s="1"/>
  <c r="J49" i="34"/>
  <c r="K109" i="37"/>
  <c r="E23" i="36"/>
  <c r="G199" i="34"/>
  <c r="C139" i="34"/>
  <c r="C144" i="34" s="1"/>
  <c r="C147" i="34" s="1"/>
  <c r="C152" i="34" s="1"/>
  <c r="H53" i="34"/>
  <c r="H203" i="34" s="1"/>
  <c r="G33" i="6"/>
  <c r="G112" i="2" s="1"/>
  <c r="L112" i="2" s="1"/>
  <c r="G17" i="36"/>
  <c r="G52" i="36"/>
  <c r="G63" i="36"/>
  <c r="G98" i="36"/>
  <c r="G103" i="36"/>
  <c r="G163" i="36"/>
  <c r="G170" i="36"/>
  <c r="G20" i="37"/>
  <c r="I109" i="37"/>
  <c r="G25" i="37"/>
  <c r="K110" i="37"/>
  <c r="G105" i="37"/>
  <c r="E91" i="2"/>
  <c r="J57" i="6"/>
  <c r="J31" i="6" s="1"/>
  <c r="C188" i="34"/>
  <c r="C213" i="34" s="1"/>
  <c r="C216" i="34" s="1"/>
  <c r="C218" i="34" s="1"/>
  <c r="I79" i="34"/>
  <c r="G127" i="36"/>
  <c r="I188" i="34"/>
  <c r="I61" i="11"/>
  <c r="I63" i="11" s="1"/>
  <c r="I65" i="11" s="1"/>
  <c r="G30" i="36"/>
  <c r="G38" i="36"/>
  <c r="G41" i="36"/>
  <c r="G57" i="36"/>
  <c r="G60" i="36"/>
  <c r="K72" i="36"/>
  <c r="G65" i="36"/>
  <c r="G67" i="36"/>
  <c r="G89" i="36"/>
  <c r="G142" i="36"/>
  <c r="G151" i="36"/>
  <c r="G30" i="37"/>
  <c r="J112" i="34"/>
  <c r="A21" i="6"/>
  <c r="J101" i="34"/>
  <c r="J150" i="34" s="1"/>
  <c r="H188" i="34"/>
  <c r="H213" i="34" s="1"/>
  <c r="H216" i="34" s="1"/>
  <c r="H218" i="34" s="1"/>
  <c r="J109" i="37"/>
  <c r="G43" i="37"/>
  <c r="G100" i="37"/>
  <c r="J50" i="34"/>
  <c r="M88" i="13"/>
  <c r="N21" i="13" s="1"/>
  <c r="J195" i="34"/>
  <c r="J196" i="34"/>
  <c r="G108" i="36"/>
  <c r="F80" i="38"/>
  <c r="G100" i="2" s="1"/>
  <c r="L100" i="2" s="1"/>
  <c r="D20" i="5"/>
  <c r="D72" i="36"/>
  <c r="G23" i="37"/>
  <c r="G140" i="34"/>
  <c r="F23" i="36"/>
  <c r="G28" i="36"/>
  <c r="G88" i="36"/>
  <c r="G96" i="36"/>
  <c r="G104" i="36"/>
  <c r="G116" i="36"/>
  <c r="G130" i="36"/>
  <c r="G133" i="36"/>
  <c r="G26" i="37"/>
  <c r="G34" i="37"/>
  <c r="G37" i="37"/>
  <c r="G40" i="37"/>
  <c r="G65" i="37"/>
  <c r="G86" i="37"/>
  <c r="G97" i="37"/>
  <c r="I808" i="20"/>
  <c r="I990" i="20"/>
  <c r="B17" i="2"/>
  <c r="B18" i="2" s="1"/>
  <c r="B24" i="2" s="1"/>
  <c r="B26" i="2" s="1"/>
  <c r="B27" i="2" s="1"/>
  <c r="B28" i="2" s="1"/>
  <c r="B30" i="2" s="1"/>
  <c r="B31" i="2" s="1"/>
  <c r="I94" i="20"/>
  <c r="C465" i="20"/>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I184" i="20"/>
  <c r="I541" i="20"/>
  <c r="I362" i="20"/>
  <c r="I719" i="20"/>
  <c r="I630" i="20"/>
  <c r="I899" i="20"/>
  <c r="I452" i="20"/>
  <c r="I273" i="20"/>
  <c r="J119" i="34"/>
  <c r="C199" i="20"/>
  <c r="F140" i="34"/>
  <c r="J188" i="34"/>
  <c r="J213" i="34" s="1"/>
  <c r="J193" i="34"/>
  <c r="G54" i="36"/>
  <c r="G99" i="36"/>
  <c r="G161" i="36"/>
  <c r="B23" i="40"/>
  <c r="F139" i="34"/>
  <c r="J137" i="34"/>
  <c r="E177" i="36"/>
  <c r="E183" i="36" s="1"/>
  <c r="A82" i="20"/>
  <c r="F52" i="34"/>
  <c r="J198" i="34"/>
  <c r="E79" i="34"/>
  <c r="E166" i="34"/>
  <c r="I71" i="36"/>
  <c r="J71" i="36"/>
  <c r="G97" i="36"/>
  <c r="G148" i="36"/>
  <c r="F188" i="34"/>
  <c r="F213" i="34" s="1"/>
  <c r="G139" i="34"/>
  <c r="G151" i="34" s="1"/>
  <c r="G188" i="34"/>
  <c r="G213" i="34" s="1"/>
  <c r="E139" i="2"/>
  <c r="A24" i="9"/>
  <c r="A25" i="9" s="1"/>
  <c r="A26" i="9" s="1"/>
  <c r="A27" i="9" s="1"/>
  <c r="A28" i="9" s="1"/>
  <c r="A29" i="9" s="1"/>
  <c r="A30" i="9" s="1"/>
  <c r="A31" i="9" s="1"/>
  <c r="A32" i="9" s="1"/>
  <c r="A33" i="9" s="1"/>
  <c r="E137" i="2" s="1"/>
  <c r="J118" i="34"/>
  <c r="H79" i="34"/>
  <c r="J136" i="34"/>
  <c r="E245" i="2"/>
  <c r="E243" i="2"/>
  <c r="E22" i="20"/>
  <c r="C109" i="37"/>
  <c r="H52" i="34"/>
  <c r="I52" i="34"/>
  <c r="B74" i="39"/>
  <c r="E52" i="34"/>
  <c r="J197" i="34"/>
  <c r="G47" i="36"/>
  <c r="G110" i="36"/>
  <c r="G125" i="36"/>
  <c r="G129" i="36"/>
  <c r="G132" i="36"/>
  <c r="G173" i="36"/>
  <c r="I197" i="36"/>
  <c r="G44" i="37"/>
  <c r="G68" i="37"/>
  <c r="G74" i="37"/>
  <c r="G85" i="37"/>
  <c r="C288" i="20"/>
  <c r="G19" i="37"/>
  <c r="G62" i="37"/>
  <c r="I110" i="37"/>
  <c r="G32" i="36"/>
  <c r="J72" i="36"/>
  <c r="G50" i="36"/>
  <c r="G64" i="36"/>
  <c r="G77" i="36"/>
  <c r="C177" i="36"/>
  <c r="C183" i="36" s="1"/>
  <c r="K177" i="36"/>
  <c r="K183" i="36" s="1"/>
  <c r="G94" i="36"/>
  <c r="G95" i="36"/>
  <c r="J177" i="36"/>
  <c r="J183" i="36" s="1"/>
  <c r="G102" i="36"/>
  <c r="G112" i="36"/>
  <c r="I177" i="36"/>
  <c r="I183" i="36" s="1"/>
  <c r="G120" i="36"/>
  <c r="G141" i="36"/>
  <c r="G153" i="36"/>
  <c r="G154" i="36"/>
  <c r="G156" i="36"/>
  <c r="G174" i="36"/>
  <c r="G180" i="36"/>
  <c r="G194" i="36"/>
  <c r="G55" i="37"/>
  <c r="G84" i="37"/>
  <c r="G87" i="37"/>
  <c r="G48" i="20"/>
  <c r="F48" i="13"/>
  <c r="D33" i="40"/>
  <c r="G152" i="2" s="1"/>
  <c r="P122" i="13"/>
  <c r="P124" i="13"/>
  <c r="P142" i="13"/>
  <c r="P143" i="13"/>
  <c r="P147" i="13"/>
  <c r="P102" i="13"/>
  <c r="P104" i="13"/>
  <c r="P128" i="13"/>
  <c r="P133" i="13"/>
  <c r="P135" i="13"/>
  <c r="P101" i="13"/>
  <c r="H228" i="2"/>
  <c r="H232" i="2"/>
  <c r="F233" i="2"/>
  <c r="P155" i="13"/>
  <c r="E100" i="2"/>
  <c r="A84" i="38"/>
  <c r="A87" i="38" s="1"/>
  <c r="A30" i="40"/>
  <c r="C30" i="40"/>
  <c r="A16" i="34"/>
  <c r="B63" i="34"/>
  <c r="J32" i="34"/>
  <c r="G53" i="34"/>
  <c r="G203" i="34" s="1"/>
  <c r="B23" i="7"/>
  <c r="A23" i="7"/>
  <c r="E116" i="2" s="1"/>
  <c r="C199" i="34"/>
  <c r="A48" i="11"/>
  <c r="E172" i="2"/>
  <c r="E173" i="2"/>
  <c r="E169" i="2"/>
  <c r="F53" i="34"/>
  <c r="F203" i="34" s="1"/>
  <c r="N88" i="13"/>
  <c r="O21" i="13" s="1"/>
  <c r="M89" i="13"/>
  <c r="C52" i="34"/>
  <c r="J43" i="34"/>
  <c r="C44" i="34"/>
  <c r="G52" i="34"/>
  <c r="J31" i="34"/>
  <c r="G39" i="36"/>
  <c r="C71" i="36"/>
  <c r="A29" i="38"/>
  <c r="A30" i="38" s="1"/>
  <c r="A31" i="38" s="1"/>
  <c r="A32" i="38" s="1"/>
  <c r="A33" i="38" s="1"/>
  <c r="A34" i="38" s="1"/>
  <c r="A35" i="38" s="1"/>
  <c r="A36" i="38" s="1"/>
  <c r="A37" i="38" s="1"/>
  <c r="A38" i="38" s="1"/>
  <c r="A39" i="38" s="1"/>
  <c r="A40" i="38" s="1"/>
  <c r="A41" i="38" s="1"/>
  <c r="A42" i="38" s="1"/>
  <c r="E64" i="2"/>
  <c r="E66" i="2"/>
  <c r="E67" i="2"/>
  <c r="A26" i="5"/>
  <c r="A27" i="5" s="1"/>
  <c r="A28" i="5" s="1"/>
  <c r="I131" i="34"/>
  <c r="J131" i="34" s="1"/>
  <c r="I139" i="34"/>
  <c r="J130" i="34"/>
  <c r="H125" i="34"/>
  <c r="H140" i="34" s="1"/>
  <c r="H139" i="34"/>
  <c r="E125" i="34"/>
  <c r="E139" i="34"/>
  <c r="G171" i="36"/>
  <c r="F177" i="36"/>
  <c r="F183" i="36" s="1"/>
  <c r="F150" i="34"/>
  <c r="F166" i="34"/>
  <c r="J14" i="34"/>
  <c r="J63" i="34" s="1"/>
  <c r="E38" i="34"/>
  <c r="E53" i="34" s="1"/>
  <c r="E203" i="34" s="1"/>
  <c r="J37" i="34"/>
  <c r="F71" i="36"/>
  <c r="G66" i="36"/>
  <c r="E188" i="34"/>
  <c r="F199" i="34"/>
  <c r="K71" i="36"/>
  <c r="G122" i="36"/>
  <c r="J81" i="6"/>
  <c r="J32" i="6" s="1"/>
  <c r="K79" i="6"/>
  <c r="E79" i="6" s="1"/>
  <c r="D71" i="36"/>
  <c r="G45" i="36"/>
  <c r="G61" i="36"/>
  <c r="C72" i="36"/>
  <c r="D177" i="36"/>
  <c r="D183" i="36" s="1"/>
  <c r="G86" i="36"/>
  <c r="G99" i="37"/>
  <c r="E109" i="37"/>
  <c r="P109" i="13"/>
  <c r="P119" i="13"/>
  <c r="P153" i="13"/>
  <c r="P157" i="13"/>
  <c r="G52" i="37"/>
  <c r="G101" i="37"/>
  <c r="D109" i="37"/>
  <c r="F100" i="13"/>
  <c r="G100" i="13" s="1"/>
  <c r="P110" i="13"/>
  <c r="P112" i="13"/>
  <c r="P114" i="13"/>
  <c r="P130" i="13"/>
  <c r="P136" i="13"/>
  <c r="P140" i="13"/>
  <c r="P144" i="13"/>
  <c r="P146" i="13"/>
  <c r="P148" i="13"/>
  <c r="P152" i="13"/>
  <c r="P154" i="13"/>
  <c r="P156" i="13"/>
  <c r="P158" i="13"/>
  <c r="G45" i="37"/>
  <c r="S17" i="21"/>
  <c r="S22" i="21"/>
  <c r="S27" i="21"/>
  <c r="P106" i="13"/>
  <c r="P125" i="13"/>
  <c r="P129" i="13"/>
  <c r="I18" i="5"/>
  <c r="I10" i="42"/>
  <c r="J54" i="42" s="1"/>
  <c r="P117" i="13"/>
  <c r="P121" i="13"/>
  <c r="I10" i="35"/>
  <c r="J54" i="35" s="1"/>
  <c r="P116" i="13"/>
  <c r="P118" i="13"/>
  <c r="P120" i="13"/>
  <c r="P131" i="13"/>
  <c r="P137" i="13"/>
  <c r="P139" i="13"/>
  <c r="P151" i="13"/>
  <c r="G67" i="2"/>
  <c r="P103" i="13"/>
  <c r="P105" i="13"/>
  <c r="P107" i="13"/>
  <c r="P111" i="13"/>
  <c r="P113" i="13"/>
  <c r="P126" i="13"/>
  <c r="P159" i="13"/>
  <c r="I34" i="5"/>
  <c r="P100" i="13"/>
  <c r="P123" i="13"/>
  <c r="P127" i="13"/>
  <c r="P132" i="13"/>
  <c r="P134" i="13"/>
  <c r="P138" i="13"/>
  <c r="P141" i="13"/>
  <c r="P145" i="13"/>
  <c r="P149" i="13"/>
  <c r="G63" i="2"/>
  <c r="G65" i="2"/>
  <c r="L242" i="2"/>
  <c r="L246" i="2" s="1"/>
  <c r="G251" i="2" s="1"/>
  <c r="I42" i="5"/>
  <c r="L239" i="2"/>
  <c r="G148" i="2"/>
  <c r="G75" i="2"/>
  <c r="P115" i="13"/>
  <c r="E42" i="39"/>
  <c r="I26" i="5"/>
  <c r="P108" i="13"/>
  <c r="P150" i="13"/>
  <c r="F42" i="39"/>
  <c r="G77" i="2"/>
  <c r="L212" i="2" l="1"/>
  <c r="G70" i="2"/>
  <c r="C229" i="34"/>
  <c r="C234" i="34" s="1"/>
  <c r="C237" i="34" s="1"/>
  <c r="G184" i="36"/>
  <c r="G197" i="36"/>
  <c r="F229" i="34"/>
  <c r="I229" i="34"/>
  <c r="G110" i="37"/>
  <c r="P21" i="13"/>
  <c r="O89" i="13"/>
  <c r="G72" i="36"/>
  <c r="A186" i="36"/>
  <c r="A188" i="36" s="1"/>
  <c r="A190" i="36" s="1"/>
  <c r="A192" i="36" s="1"/>
  <c r="A193" i="36" s="1"/>
  <c r="A194" i="36" s="1"/>
  <c r="A195" i="36" s="1"/>
  <c r="A196" i="36" s="1"/>
  <c r="A197" i="36" s="1"/>
  <c r="D52" i="5" s="1"/>
  <c r="G23" i="36"/>
  <c r="D35" i="5"/>
  <c r="J33" i="6"/>
  <c r="G110" i="2" s="1"/>
  <c r="C167" i="34"/>
  <c r="C151" i="34"/>
  <c r="C153" i="34" s="1"/>
  <c r="C155" i="34" s="1"/>
  <c r="C171" i="34" s="1"/>
  <c r="C174" i="34" s="1"/>
  <c r="A36" i="9"/>
  <c r="A37" i="9" s="1"/>
  <c r="A38" i="9" s="1"/>
  <c r="A39" i="9" s="1"/>
  <c r="A40" i="9" s="1"/>
  <c r="A41" i="9" s="1"/>
  <c r="A44" i="9" s="1"/>
  <c r="A47" i="9" s="1"/>
  <c r="A48" i="9" s="1"/>
  <c r="A49" i="9" s="1"/>
  <c r="A50" i="9" s="1"/>
  <c r="A51" i="9" s="1"/>
  <c r="A52" i="9" s="1"/>
  <c r="A53" i="9" s="1"/>
  <c r="A54" i="9" s="1"/>
  <c r="A55" i="9" s="1"/>
  <c r="A56" i="9" s="1"/>
  <c r="A57" i="9" s="1"/>
  <c r="A58" i="9" s="1"/>
  <c r="A59" i="9" s="1"/>
  <c r="A60" i="9" s="1"/>
  <c r="A61" i="9" s="1"/>
  <c r="A62" i="9" s="1"/>
  <c r="A64" i="9" s="1"/>
  <c r="G229" i="34"/>
  <c r="G144" i="34"/>
  <c r="G147" i="34" s="1"/>
  <c r="G152" i="34" s="1"/>
  <c r="I213" i="34"/>
  <c r="I216" i="34" s="1"/>
  <c r="I218" i="34" s="1"/>
  <c r="G167" i="34"/>
  <c r="E28" i="2"/>
  <c r="D30" i="2"/>
  <c r="H229" i="34"/>
  <c r="H234" i="34" s="1"/>
  <c r="H237" i="34" s="1"/>
  <c r="J216" i="34"/>
  <c r="H270" i="2" s="1"/>
  <c r="J199" i="34"/>
  <c r="L257" i="2" s="1"/>
  <c r="A23" i="6"/>
  <c r="E108" i="2"/>
  <c r="J166" i="34"/>
  <c r="G187" i="2"/>
  <c r="C200" i="20"/>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C289" i="20"/>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E64" i="34"/>
  <c r="E57" i="34"/>
  <c r="E60" i="34" s="1"/>
  <c r="E65" i="34" s="1"/>
  <c r="E80" i="34"/>
  <c r="H80" i="34"/>
  <c r="H64" i="34"/>
  <c r="H57" i="34"/>
  <c r="H60" i="34" s="1"/>
  <c r="H65" i="34" s="1"/>
  <c r="F216" i="34"/>
  <c r="F218" i="34" s="1"/>
  <c r="G177" i="36"/>
  <c r="G183" i="36" s="1"/>
  <c r="F57" i="34"/>
  <c r="F60" i="34" s="1"/>
  <c r="F65" i="34" s="1"/>
  <c r="F80" i="34"/>
  <c r="F202" i="34"/>
  <c r="F64" i="34"/>
  <c r="F151" i="34"/>
  <c r="F167" i="34"/>
  <c r="F144" i="34"/>
  <c r="F147" i="34" s="1"/>
  <c r="F152" i="34" s="1"/>
  <c r="G109" i="37"/>
  <c r="I57" i="34"/>
  <c r="I60" i="34" s="1"/>
  <c r="I65" i="34" s="1"/>
  <c r="I80" i="34"/>
  <c r="I64" i="34"/>
  <c r="C22" i="31"/>
  <c r="E21" i="42"/>
  <c r="E22" i="42" s="1"/>
  <c r="G188" i="2"/>
  <c r="N90" i="13"/>
  <c r="H233" i="2"/>
  <c r="S33" i="21"/>
  <c r="L195" i="2" s="1"/>
  <c r="G84" i="2"/>
  <c r="M90" i="13"/>
  <c r="O23" i="13"/>
  <c r="E21" i="35"/>
  <c r="E22" i="35" s="1"/>
  <c r="N22" i="13"/>
  <c r="N23" i="13" s="1"/>
  <c r="O88" i="13"/>
  <c r="G71" i="36"/>
  <c r="C64" i="34"/>
  <c r="C80" i="34"/>
  <c r="C57" i="34"/>
  <c r="C202" i="34"/>
  <c r="J52" i="34"/>
  <c r="A50" i="11"/>
  <c r="A51" i="11" s="1"/>
  <c r="C61" i="11" s="1"/>
  <c r="D101" i="13"/>
  <c r="E101" i="13" s="1"/>
  <c r="E213" i="34"/>
  <c r="E229" i="34"/>
  <c r="J38" i="34"/>
  <c r="E74" i="2"/>
  <c r="E76" i="2"/>
  <c r="E77" i="2"/>
  <c r="E75" i="2"/>
  <c r="A49" i="38"/>
  <c r="A50" i="38" s="1"/>
  <c r="A51" i="38" s="1"/>
  <c r="A52" i="38" s="1"/>
  <c r="A53" i="38" s="1"/>
  <c r="A54" i="38" s="1"/>
  <c r="A55" i="38" s="1"/>
  <c r="A56" i="38" s="1"/>
  <c r="A57" i="38" s="1"/>
  <c r="A58" i="38" s="1"/>
  <c r="A59" i="38" s="1"/>
  <c r="A60" i="38" s="1"/>
  <c r="A61" i="38" s="1"/>
  <c r="A62" i="38" s="1"/>
  <c r="E73" i="2"/>
  <c r="C33" i="40"/>
  <c r="A33" i="40"/>
  <c r="E152" i="2" s="1"/>
  <c r="A50" i="39"/>
  <c r="A51" i="39" s="1"/>
  <c r="A52" i="39" s="1"/>
  <c r="A53" i="39" s="1"/>
  <c r="A54" i="39" s="1"/>
  <c r="A55" i="39" s="1"/>
  <c r="H202" i="34"/>
  <c r="H167" i="34"/>
  <c r="H151" i="34"/>
  <c r="H144" i="34"/>
  <c r="H147" i="34" s="1"/>
  <c r="H152" i="34" s="1"/>
  <c r="B33" i="2"/>
  <c r="B34" i="2" s="1"/>
  <c r="C70" i="13"/>
  <c r="D33" i="2"/>
  <c r="C70" i="20"/>
  <c r="E144" i="34"/>
  <c r="E167" i="34"/>
  <c r="E151" i="34"/>
  <c r="J139" i="34"/>
  <c r="E202" i="34"/>
  <c r="G216" i="34"/>
  <c r="G218" i="34" s="1"/>
  <c r="D28" i="5"/>
  <c r="G202" i="34"/>
  <c r="G80" i="34"/>
  <c r="G57" i="34"/>
  <c r="G60" i="34" s="1"/>
  <c r="G65" i="34" s="1"/>
  <c r="G64" i="34"/>
  <c r="J44" i="34"/>
  <c r="C53" i="34"/>
  <c r="I140" i="34"/>
  <c r="J79" i="34"/>
  <c r="G85" i="2"/>
  <c r="E140" i="34"/>
  <c r="J125" i="34"/>
  <c r="I144" i="34"/>
  <c r="I147" i="34" s="1"/>
  <c r="I152" i="34" s="1"/>
  <c r="I202" i="34"/>
  <c r="I167" i="34"/>
  <c r="I151" i="34"/>
  <c r="A31" i="5"/>
  <c r="A33" i="5" s="1"/>
  <c r="E92" i="2"/>
  <c r="A19" i="34"/>
  <c r="A20" i="34" s="1"/>
  <c r="A21" i="34" s="1"/>
  <c r="A22" i="34" s="1"/>
  <c r="A23" i="34" s="1"/>
  <c r="A24" i="34" s="1"/>
  <c r="A25" i="34" s="1"/>
  <c r="B13" i="34"/>
  <c r="H42" i="39"/>
  <c r="G249" i="2" s="1"/>
  <c r="G73" i="2"/>
  <c r="G80" i="2" s="1"/>
  <c r="G83" i="2" l="1"/>
  <c r="G87" i="2" s="1"/>
  <c r="K48" i="11"/>
  <c r="K51" i="11" s="1"/>
  <c r="K53" i="11" s="1"/>
  <c r="K55" i="11" s="1"/>
  <c r="G57" i="11" s="1"/>
  <c r="F234" i="34"/>
  <c r="F237" i="34" s="1"/>
  <c r="I234" i="34"/>
  <c r="I237" i="34" s="1"/>
  <c r="O90" i="13"/>
  <c r="G234" i="34"/>
  <c r="G237" i="34" s="1"/>
  <c r="E149" i="2"/>
  <c r="E66" i="34"/>
  <c r="E68" i="34" s="1"/>
  <c r="E84" i="34" s="1"/>
  <c r="E87" i="34" s="1"/>
  <c r="G153" i="34"/>
  <c r="F153" i="34"/>
  <c r="F155" i="34" s="1"/>
  <c r="F171" i="34" s="1"/>
  <c r="F174" i="34" s="1"/>
  <c r="J229" i="34"/>
  <c r="J140" i="34"/>
  <c r="C156" i="34"/>
  <c r="C172" i="34" s="1"/>
  <c r="E109" i="2"/>
  <c r="A29" i="6"/>
  <c r="A31" i="6" s="1"/>
  <c r="A32" i="6" s="1"/>
  <c r="A33" i="6" s="1"/>
  <c r="J218" i="34"/>
  <c r="F207" i="34"/>
  <c r="F210" i="34" s="1"/>
  <c r="F215" i="34" s="1"/>
  <c r="F220" i="34" s="1"/>
  <c r="F236" i="34" s="1"/>
  <c r="F230" i="34"/>
  <c r="F214" i="34"/>
  <c r="F219" i="34" s="1"/>
  <c r="C157" i="34"/>
  <c r="C173" i="34" s="1"/>
  <c r="F66" i="34"/>
  <c r="F68" i="34" s="1"/>
  <c r="F84" i="34" s="1"/>
  <c r="F87" i="34" s="1"/>
  <c r="H66" i="34"/>
  <c r="H68" i="34" s="1"/>
  <c r="H84" i="34" s="1"/>
  <c r="H87" i="34" s="1"/>
  <c r="I66" i="34"/>
  <c r="I68" i="34" s="1"/>
  <c r="I84" i="34" s="1"/>
  <c r="I87" i="34" s="1"/>
  <c r="F101" i="13"/>
  <c r="D102" i="13" s="1"/>
  <c r="E57" i="39"/>
  <c r="P22" i="13"/>
  <c r="P23" i="13" s="1"/>
  <c r="I207" i="34"/>
  <c r="I210" i="34" s="1"/>
  <c r="I215" i="34" s="1"/>
  <c r="I220" i="34" s="1"/>
  <c r="I236" i="34" s="1"/>
  <c r="I230" i="34"/>
  <c r="I214" i="34"/>
  <c r="I219" i="34" s="1"/>
  <c r="E150" i="2"/>
  <c r="A67" i="9"/>
  <c r="A68" i="9" s="1"/>
  <c r="A69" i="9" s="1"/>
  <c r="A70" i="9" s="1"/>
  <c r="A72" i="9" s="1"/>
  <c r="E151" i="2" s="1"/>
  <c r="G230" i="34"/>
  <c r="G207" i="34"/>
  <c r="G210" i="34" s="1"/>
  <c r="G215" i="34" s="1"/>
  <c r="G220" i="34" s="1"/>
  <c r="G236" i="34" s="1"/>
  <c r="G214" i="34"/>
  <c r="G219" i="34" s="1"/>
  <c r="E207" i="34"/>
  <c r="E210" i="34" s="1"/>
  <c r="E215" i="34" s="1"/>
  <c r="E214" i="34"/>
  <c r="E230" i="34"/>
  <c r="E147" i="34"/>
  <c r="E152" i="34" s="1"/>
  <c r="E153" i="34" s="1"/>
  <c r="E155" i="34" s="1"/>
  <c r="E171" i="34" s="1"/>
  <c r="E174" i="34" s="1"/>
  <c r="J144" i="34"/>
  <c r="J147" i="34" s="1"/>
  <c r="J152" i="34" s="1"/>
  <c r="A57" i="39"/>
  <c r="B57" i="39"/>
  <c r="E239" i="2"/>
  <c r="C60" i="34"/>
  <c r="C65" i="34" s="1"/>
  <c r="C66" i="34" s="1"/>
  <c r="C68" i="34" s="1"/>
  <c r="C84" i="34" s="1"/>
  <c r="C87" i="34" s="1"/>
  <c r="J57" i="34"/>
  <c r="J60" i="34" s="1"/>
  <c r="J65" i="34" s="1"/>
  <c r="A34" i="5"/>
  <c r="A35" i="5" s="1"/>
  <c r="A36" i="5" s="1"/>
  <c r="A39" i="5" s="1"/>
  <c r="A41" i="5" s="1"/>
  <c r="G66" i="34"/>
  <c r="G68" i="34" s="1"/>
  <c r="G84" i="34" s="1"/>
  <c r="G87" i="34" s="1"/>
  <c r="J167" i="34"/>
  <c r="J151" i="34"/>
  <c r="H153" i="34"/>
  <c r="H155" i="34" s="1"/>
  <c r="H171" i="34" s="1"/>
  <c r="H174" i="34" s="1"/>
  <c r="E216" i="34"/>
  <c r="E218" i="34" s="1"/>
  <c r="E234" i="34" s="1"/>
  <c r="E237" i="34" s="1"/>
  <c r="C51" i="11"/>
  <c r="A28" i="34"/>
  <c r="B79" i="34"/>
  <c r="I153" i="34"/>
  <c r="I155" i="34" s="1"/>
  <c r="I171" i="34" s="1"/>
  <c r="I174" i="34" s="1"/>
  <c r="J53" i="34"/>
  <c r="J203" i="34" s="1"/>
  <c r="L258" i="2" s="1"/>
  <c r="J268" i="2" s="1"/>
  <c r="C203" i="34"/>
  <c r="D214" i="2"/>
  <c r="D213" i="2"/>
  <c r="J202" i="34"/>
  <c r="J64" i="34"/>
  <c r="J80" i="34"/>
  <c r="B36" i="2"/>
  <c r="B39" i="2" s="1"/>
  <c r="B41" i="2" s="1"/>
  <c r="B21" i="2"/>
  <c r="H214" i="34"/>
  <c r="H219" i="34" s="1"/>
  <c r="H230" i="34"/>
  <c r="H207" i="34"/>
  <c r="H210" i="34" s="1"/>
  <c r="H215" i="34" s="1"/>
  <c r="H220" i="34" s="1"/>
  <c r="H236" i="34" s="1"/>
  <c r="B55" i="39"/>
  <c r="A52" i="11"/>
  <c r="A53" i="11" s="1"/>
  <c r="C230" i="34"/>
  <c r="C207" i="34"/>
  <c r="C214" i="34"/>
  <c r="C219" i="34" s="1"/>
  <c r="G252" i="2"/>
  <c r="H250" i="2" s="1"/>
  <c r="J249" i="2"/>
  <c r="E21" i="13" s="1"/>
  <c r="E23" i="42"/>
  <c r="E23" i="35"/>
  <c r="I57" i="11" l="1"/>
  <c r="I58" i="11" s="1"/>
  <c r="I59" i="11" s="1"/>
  <c r="K61" i="11"/>
  <c r="K63" i="11" s="1"/>
  <c r="K65" i="11" s="1"/>
  <c r="E67" i="11" s="1"/>
  <c r="E68" i="11" s="1"/>
  <c r="E69" i="11" s="1"/>
  <c r="E57" i="11"/>
  <c r="E58" i="11" s="1"/>
  <c r="K57" i="11"/>
  <c r="K58" i="11" s="1"/>
  <c r="F156" i="34"/>
  <c r="F172" i="34" s="1"/>
  <c r="F157" i="34"/>
  <c r="F173" i="34" s="1"/>
  <c r="I235" i="34"/>
  <c r="F70" i="34"/>
  <c r="F86" i="34" s="1"/>
  <c r="E70" i="34"/>
  <c r="E86" i="34" s="1"/>
  <c r="E69" i="34"/>
  <c r="E85" i="34" s="1"/>
  <c r="G155" i="34"/>
  <c r="G171" i="34" s="1"/>
  <c r="G174" i="34" s="1"/>
  <c r="G156" i="34"/>
  <c r="G172" i="34" s="1"/>
  <c r="G157" i="34"/>
  <c r="G173" i="34" s="1"/>
  <c r="G235" i="34"/>
  <c r="I70" i="34"/>
  <c r="I86" i="34" s="1"/>
  <c r="J234" i="34"/>
  <c r="J237" i="34" s="1"/>
  <c r="G267" i="2"/>
  <c r="D36" i="5"/>
  <c r="I69" i="34"/>
  <c r="I85" i="34" s="1"/>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E110" i="2"/>
  <c r="E112" i="2"/>
  <c r="E111" i="2"/>
  <c r="E113" i="2"/>
  <c r="F69" i="34"/>
  <c r="F85" i="34" s="1"/>
  <c r="E220" i="34"/>
  <c r="E236" i="34" s="1"/>
  <c r="F235" i="34"/>
  <c r="H69" i="34"/>
  <c r="H85" i="34" s="1"/>
  <c r="C53" i="11"/>
  <c r="I156" i="34"/>
  <c r="I172" i="34" s="1"/>
  <c r="E93" i="2"/>
  <c r="H70" i="34"/>
  <c r="H86" i="34" s="1"/>
  <c r="H251" i="2"/>
  <c r="H249" i="2"/>
  <c r="G101" i="13"/>
  <c r="E21" i="20"/>
  <c r="B42" i="2"/>
  <c r="J66" i="34"/>
  <c r="J68" i="34" s="1"/>
  <c r="J84" i="34" s="1"/>
  <c r="J87" i="34" s="1"/>
  <c r="E157" i="34"/>
  <c r="E173" i="34" s="1"/>
  <c r="J230" i="34"/>
  <c r="J214" i="34"/>
  <c r="J219" i="34" s="1"/>
  <c r="G70" i="34"/>
  <c r="G86" i="34" s="1"/>
  <c r="J153" i="34"/>
  <c r="J155" i="34" s="1"/>
  <c r="J171" i="34" s="1"/>
  <c r="J174" i="34" s="1"/>
  <c r="I157" i="34"/>
  <c r="I173" i="34" s="1"/>
  <c r="A60" i="39"/>
  <c r="A63" i="39" s="1"/>
  <c r="A64" i="39" s="1"/>
  <c r="A65" i="39" s="1"/>
  <c r="A66" i="39" s="1"/>
  <c r="A68" i="39" s="1"/>
  <c r="D249" i="2"/>
  <c r="C235" i="34"/>
  <c r="A54" i="11"/>
  <c r="A55" i="11" s="1"/>
  <c r="H235" i="34"/>
  <c r="C69" i="34"/>
  <c r="C85" i="34" s="1"/>
  <c r="A42" i="5"/>
  <c r="A43" i="5" s="1"/>
  <c r="A44" i="5" s="1"/>
  <c r="A47" i="5" s="1"/>
  <c r="A49" i="5" s="1"/>
  <c r="C70" i="34"/>
  <c r="C86" i="34" s="1"/>
  <c r="H157" i="34"/>
  <c r="H173" i="34" s="1"/>
  <c r="E219" i="34"/>
  <c r="E235" i="34" s="1"/>
  <c r="J207" i="34"/>
  <c r="C210" i="34"/>
  <c r="C215" i="34" s="1"/>
  <c r="C220" i="34" s="1"/>
  <c r="C236" i="34" s="1"/>
  <c r="E156" i="34"/>
  <c r="E172" i="34" s="1"/>
  <c r="A29" i="34"/>
  <c r="H156" i="34"/>
  <c r="H172" i="34" s="1"/>
  <c r="G69" i="34"/>
  <c r="G85" i="34" s="1"/>
  <c r="G48" i="11"/>
  <c r="E24" i="35"/>
  <c r="E102" i="13"/>
  <c r="F102" i="13" s="1"/>
  <c r="D103" i="13" s="1"/>
  <c r="E24" i="42"/>
  <c r="L250" i="2"/>
  <c r="D22" i="20"/>
  <c r="F22" i="20" s="1"/>
  <c r="I250" i="2"/>
  <c r="D22" i="13"/>
  <c r="F22" i="13" s="1"/>
  <c r="G67" i="11" l="1"/>
  <c r="I67" i="11"/>
  <c r="I68" i="11" s="1"/>
  <c r="I69" i="11" s="1"/>
  <c r="K67" i="11"/>
  <c r="K68" i="11" s="1"/>
  <c r="M57" i="11"/>
  <c r="J157" i="34"/>
  <c r="J173" i="34" s="1"/>
  <c r="J70" i="34"/>
  <c r="J86" i="34" s="1"/>
  <c r="A74" i="6"/>
  <c r="A75" i="6" s="1"/>
  <c r="A76" i="6" s="1"/>
  <c r="A77" i="6" s="1"/>
  <c r="A78" i="6" s="1"/>
  <c r="A79" i="6" s="1"/>
  <c r="A80" i="6" s="1"/>
  <c r="A72" i="6"/>
  <c r="A73" i="6" s="1"/>
  <c r="J156" i="34"/>
  <c r="J172" i="34" s="1"/>
  <c r="H267" i="2"/>
  <c r="J267" i="2" s="1"/>
  <c r="L267" i="2" s="1"/>
  <c r="L270" i="2" s="1"/>
  <c r="D23" i="13"/>
  <c r="F23" i="13" s="1"/>
  <c r="I251" i="2"/>
  <c r="I249" i="2" s="1"/>
  <c r="L249" i="2" s="1"/>
  <c r="D23" i="20"/>
  <c r="F23" i="20" s="1"/>
  <c r="H252" i="2"/>
  <c r="D21" i="13"/>
  <c r="F21" i="13" s="1"/>
  <c r="E94" i="2"/>
  <c r="D21" i="20"/>
  <c r="F21" i="20" s="1"/>
  <c r="D44" i="5"/>
  <c r="C56" i="11"/>
  <c r="A56" i="11"/>
  <c r="G268" i="2"/>
  <c r="J235" i="34"/>
  <c r="J69" i="34"/>
  <c r="J85" i="34" s="1"/>
  <c r="A30" i="34"/>
  <c r="A31" i="34" s="1"/>
  <c r="L261" i="2"/>
  <c r="L264" i="2" s="1"/>
  <c r="J210" i="34"/>
  <c r="J215" i="34" s="1"/>
  <c r="J220" i="34" s="1"/>
  <c r="A50" i="5"/>
  <c r="A51" i="5" s="1"/>
  <c r="C55" i="11"/>
  <c r="A74" i="39"/>
  <c r="A75" i="39" s="1"/>
  <c r="B50" i="39"/>
  <c r="B43" i="2"/>
  <c r="D321" i="2" s="1"/>
  <c r="G51" i="11"/>
  <c r="G61" i="11" s="1"/>
  <c r="M48" i="11"/>
  <c r="G102" i="13"/>
  <c r="E103" i="13"/>
  <c r="F103" i="13" s="1"/>
  <c r="D104" i="13" s="1"/>
  <c r="E59" i="11"/>
  <c r="E25" i="42"/>
  <c r="E25" i="35"/>
  <c r="L251" i="2" l="1"/>
  <c r="L252" i="2" s="1"/>
  <c r="G178" i="2" s="1"/>
  <c r="F24" i="13"/>
  <c r="E29" i="13" s="1"/>
  <c r="F24" i="20"/>
  <c r="F29" i="20" s="1"/>
  <c r="A52" i="5"/>
  <c r="E95" i="2" s="1"/>
  <c r="A32" i="34"/>
  <c r="B32" i="34"/>
  <c r="L268" i="2"/>
  <c r="H268" i="2"/>
  <c r="A76" i="39"/>
  <c r="B76" i="39"/>
  <c r="E240" i="2"/>
  <c r="J236" i="34"/>
  <c r="G269" i="2"/>
  <c r="C57" i="11"/>
  <c r="A57" i="11"/>
  <c r="B45" i="2"/>
  <c r="B63" i="2" s="1"/>
  <c r="E45" i="2"/>
  <c r="D51" i="5"/>
  <c r="B31" i="34"/>
  <c r="M61" i="11"/>
  <c r="G63" i="11"/>
  <c r="G53" i="11"/>
  <c r="M51" i="11"/>
  <c r="E26" i="42"/>
  <c r="E104" i="13"/>
  <c r="E26" i="35"/>
  <c r="G103" i="13"/>
  <c r="L269" i="2" l="1"/>
  <c r="H269" i="2"/>
  <c r="C75" i="13"/>
  <c r="E212" i="2"/>
  <c r="B64" i="2"/>
  <c r="B65" i="2" s="1"/>
  <c r="C75" i="20"/>
  <c r="A34" i="34"/>
  <c r="A58" i="11"/>
  <c r="C58" i="11"/>
  <c r="M53" i="11"/>
  <c r="G55" i="11"/>
  <c r="G58" i="11" s="1"/>
  <c r="M58" i="11" s="1"/>
  <c r="M63" i="11"/>
  <c r="G65" i="11"/>
  <c r="G68" i="11" s="1"/>
  <c r="M68" i="11" s="1"/>
  <c r="G197" i="2"/>
  <c r="F35" i="20"/>
  <c r="L197" i="2"/>
  <c r="E35" i="13"/>
  <c r="E27" i="35"/>
  <c r="F104" i="13"/>
  <c r="E27" i="42"/>
  <c r="C59" i="11" l="1"/>
  <c r="A59" i="11"/>
  <c r="A61" i="11" s="1"/>
  <c r="A62" i="11" s="1"/>
  <c r="A63" i="11" s="1"/>
  <c r="A35" i="34"/>
  <c r="B66" i="2"/>
  <c r="B67" i="2" s="1"/>
  <c r="E28" i="35"/>
  <c r="E28" i="42"/>
  <c r="D105" i="13"/>
  <c r="G104" i="13"/>
  <c r="B70" i="2" l="1"/>
  <c r="B72" i="2" s="1"/>
  <c r="B73" i="2" s="1"/>
  <c r="E70" i="2"/>
  <c r="A36" i="34"/>
  <c r="A37" i="34" s="1"/>
  <c r="A64" i="11"/>
  <c r="A65" i="11" s="1"/>
  <c r="E105" i="13"/>
  <c r="F105" i="13" s="1"/>
  <c r="E29" i="35"/>
  <c r="E29" i="42"/>
  <c r="B37" i="34" l="1"/>
  <c r="B74" i="2"/>
  <c r="B75" i="2" s="1"/>
  <c r="A66" i="11"/>
  <c r="A67" i="11" s="1"/>
  <c r="C66" i="11"/>
  <c r="C65" i="11"/>
  <c r="A38" i="34"/>
  <c r="B38" i="34"/>
  <c r="D106" i="13"/>
  <c r="E106" i="13" s="1"/>
  <c r="F106" i="13" s="1"/>
  <c r="G105" i="13"/>
  <c r="E30" i="35"/>
  <c r="E30" i="42"/>
  <c r="E83" i="2" l="1"/>
  <c r="A40" i="34"/>
  <c r="C67" i="11"/>
  <c r="A68" i="11"/>
  <c r="C68" i="11"/>
  <c r="B76" i="2"/>
  <c r="B77" i="2" s="1"/>
  <c r="D107" i="13"/>
  <c r="G106" i="13"/>
  <c r="E31" i="42"/>
  <c r="E31" i="35"/>
  <c r="B80" i="2" l="1"/>
  <c r="B82" i="2" s="1"/>
  <c r="B83" i="2" s="1"/>
  <c r="E80" i="2"/>
  <c r="E84" i="2"/>
  <c r="C69" i="11"/>
  <c r="A69" i="11"/>
  <c r="E85" i="2"/>
  <c r="A41" i="34"/>
  <c r="E32" i="42"/>
  <c r="E32" i="35"/>
  <c r="E107" i="13"/>
  <c r="F107" i="13" s="1"/>
  <c r="D108" i="13" s="1"/>
  <c r="A42" i="34" l="1"/>
  <c r="A43" i="34" s="1"/>
  <c r="B84" i="2"/>
  <c r="B85" i="2" s="1"/>
  <c r="C64" i="20"/>
  <c r="C64" i="13"/>
  <c r="G107" i="13"/>
  <c r="E108" i="13"/>
  <c r="F108" i="13" s="1"/>
  <c r="D109" i="13" s="1"/>
  <c r="B87" i="2" l="1"/>
  <c r="C48" i="11" s="1"/>
  <c r="E87" i="2"/>
  <c r="B43" i="34"/>
  <c r="A44" i="34"/>
  <c r="B44" i="34"/>
  <c r="G108" i="13"/>
  <c r="E109" i="13"/>
  <c r="F109" i="13" s="1"/>
  <c r="B90" i="2" l="1"/>
  <c r="B91" i="2" s="1"/>
  <c r="B92" i="2" s="1"/>
  <c r="B93" i="2" s="1"/>
  <c r="B94" i="2" s="1"/>
  <c r="B95" i="2" s="1"/>
  <c r="B96" i="2" s="1"/>
  <c r="A46" i="34"/>
  <c r="D110" i="13"/>
  <c r="G109" i="13"/>
  <c r="E96" i="2" l="1"/>
  <c r="B98" i="2"/>
  <c r="B100" i="2" s="1"/>
  <c r="B102" i="2" s="1"/>
  <c r="B104" i="2" s="1"/>
  <c r="B105" i="2" s="1"/>
  <c r="A47" i="34"/>
  <c r="E110" i="13"/>
  <c r="F110" i="13" s="1"/>
  <c r="A48" i="34" l="1"/>
  <c r="A49" i="34" s="1"/>
  <c r="B106" i="2"/>
  <c r="B108" i="2" s="1"/>
  <c r="B109" i="2" s="1"/>
  <c r="B110" i="2" s="1"/>
  <c r="B111" i="2" s="1"/>
  <c r="B112" i="2" s="1"/>
  <c r="B113" i="2" s="1"/>
  <c r="B114" i="2" s="1"/>
  <c r="D111" i="13"/>
  <c r="E111" i="13" s="1"/>
  <c r="G110" i="13"/>
  <c r="E114" i="2" l="1"/>
  <c r="B116" i="2"/>
  <c r="D118" i="2" s="1"/>
  <c r="A50" i="34"/>
  <c r="B52" i="34"/>
  <c r="B50" i="34"/>
  <c r="B49" i="34"/>
  <c r="F111" i="13"/>
  <c r="A52" i="34" l="1"/>
  <c r="B53" i="34"/>
  <c r="B118" i="2"/>
  <c r="D317" i="2"/>
  <c r="D112" i="13"/>
  <c r="G111" i="13"/>
  <c r="C28" i="13" l="1"/>
  <c r="C28" i="20"/>
  <c r="B133" i="2"/>
  <c r="A53" i="34"/>
  <c r="B64" i="34"/>
  <c r="B57" i="34"/>
  <c r="E112" i="13"/>
  <c r="F112" i="13" s="1"/>
  <c r="B134" i="2" l="1"/>
  <c r="B135" i="2" s="1"/>
  <c r="B203" i="34"/>
  <c r="B80" i="34"/>
  <c r="A56" i="34"/>
  <c r="D113" i="13"/>
  <c r="G112" i="13"/>
  <c r="A57" i="34" l="1"/>
  <c r="A58" i="34" s="1"/>
  <c r="B136" i="2"/>
  <c r="B137" i="2" s="1"/>
  <c r="E136" i="2"/>
  <c r="E113" i="13"/>
  <c r="F113" i="13" s="1"/>
  <c r="E41" i="2" l="1"/>
  <c r="B138" i="2"/>
  <c r="D312" i="2"/>
  <c r="A59" i="34"/>
  <c r="D114" i="13"/>
  <c r="G113" i="13"/>
  <c r="B139" i="2" l="1"/>
  <c r="E140" i="2" s="1"/>
  <c r="A60" i="34"/>
  <c r="E114" i="13"/>
  <c r="F114" i="13" s="1"/>
  <c r="A63" i="34" l="1"/>
  <c r="B65" i="34"/>
  <c r="B140" i="2"/>
  <c r="D314" i="2"/>
  <c r="D115" i="13"/>
  <c r="G114" i="13"/>
  <c r="B142" i="2" l="1"/>
  <c r="E105" i="2"/>
  <c r="D311" i="2"/>
  <c r="A64" i="34"/>
  <c r="E115" i="13"/>
  <c r="F115" i="13" s="1"/>
  <c r="D116" i="13" s="1"/>
  <c r="A65" i="34" l="1"/>
  <c r="B143" i="2"/>
  <c r="E116" i="13"/>
  <c r="F116" i="13" s="1"/>
  <c r="D117" i="13" s="1"/>
  <c r="G115" i="13"/>
  <c r="A66" i="34" l="1"/>
  <c r="B70" i="34" s="1"/>
  <c r="B144" i="2"/>
  <c r="B145" i="2" s="1"/>
  <c r="B146" i="2" s="1"/>
  <c r="B147" i="2" s="1"/>
  <c r="E148" i="2"/>
  <c r="E117" i="13"/>
  <c r="F117" i="13" s="1"/>
  <c r="G116" i="13"/>
  <c r="D118" i="13" l="1"/>
  <c r="E118" i="13" s="1"/>
  <c r="F118" i="13" s="1"/>
  <c r="G117" i="13"/>
  <c r="B148" i="2"/>
  <c r="B149" i="2" s="1"/>
  <c r="B150" i="2" s="1"/>
  <c r="B151" i="2" s="1"/>
  <c r="B152" i="2" s="1"/>
  <c r="B154" i="2" s="1"/>
  <c r="A68" i="34"/>
  <c r="B68" i="34"/>
  <c r="B69" i="34"/>
  <c r="E147" i="2"/>
  <c r="E154" i="2" l="1"/>
  <c r="D315" i="2"/>
  <c r="B156" i="2"/>
  <c r="E156" i="2"/>
  <c r="A69" i="34"/>
  <c r="D119" i="13"/>
  <c r="G118" i="13"/>
  <c r="A70" i="34" l="1"/>
  <c r="B157" i="2"/>
  <c r="E158" i="2" s="1"/>
  <c r="E119" i="13"/>
  <c r="F119" i="13" s="1"/>
  <c r="A72" i="34" l="1"/>
  <c r="A74" i="34" s="1"/>
  <c r="A75" i="34" s="1"/>
  <c r="A76" i="34" s="1"/>
  <c r="A79" i="34" s="1"/>
  <c r="C48" i="13"/>
  <c r="D328" i="2"/>
  <c r="E27" i="2"/>
  <c r="D330" i="2"/>
  <c r="C48" i="20"/>
  <c r="B158" i="2"/>
  <c r="D325" i="2"/>
  <c r="D120" i="13"/>
  <c r="G119" i="13"/>
  <c r="B160" i="2" l="1"/>
  <c r="B161" i="2" s="1"/>
  <c r="A80" i="34"/>
  <c r="B84" i="34"/>
  <c r="E120" i="13"/>
  <c r="F120" i="13" s="1"/>
  <c r="A81" i="34" l="1"/>
  <c r="B85" i="34"/>
  <c r="C76" i="20"/>
  <c r="B162" i="2"/>
  <c r="B163" i="2" s="1"/>
  <c r="B165" i="2" s="1"/>
  <c r="C76" i="13"/>
  <c r="C59" i="20"/>
  <c r="C59" i="13"/>
  <c r="E31" i="2"/>
  <c r="D121" i="13"/>
  <c r="G120" i="13"/>
  <c r="E165" i="2" l="1"/>
  <c r="B167" i="2"/>
  <c r="B168" i="2" s="1"/>
  <c r="B169" i="2" s="1"/>
  <c r="A84" i="34"/>
  <c r="A85" i="34" s="1"/>
  <c r="A86" i="34" s="1"/>
  <c r="A87" i="34" s="1"/>
  <c r="A96" i="34" s="1"/>
  <c r="B86" i="34"/>
  <c r="E121" i="13"/>
  <c r="F121" i="13" s="1"/>
  <c r="B183" i="34" l="1"/>
  <c r="A97" i="34"/>
  <c r="B170" i="2"/>
  <c r="B171" i="2" s="1"/>
  <c r="B172" i="2" s="1"/>
  <c r="B173" i="2" s="1"/>
  <c r="B174" i="2" s="1"/>
  <c r="D122" i="13"/>
  <c r="G121" i="13"/>
  <c r="E174" i="2" l="1"/>
  <c r="A98" i="34"/>
  <c r="B184" i="34"/>
  <c r="B176" i="2"/>
  <c r="B177" i="2" s="1"/>
  <c r="E122" i="13"/>
  <c r="F122" i="13" s="1"/>
  <c r="D123" i="13" s="1"/>
  <c r="G122" i="13" l="1"/>
  <c r="D181" i="2"/>
  <c r="B178" i="2"/>
  <c r="B185" i="34"/>
  <c r="A99" i="34"/>
  <c r="E123" i="13"/>
  <c r="F123" i="13" s="1"/>
  <c r="D124" i="13" s="1"/>
  <c r="B179" i="2" l="1"/>
  <c r="B180" i="2" s="1"/>
  <c r="B181" i="2" s="1"/>
  <c r="C35" i="20"/>
  <c r="C35" i="13"/>
  <c r="A100" i="34"/>
  <c r="A101" i="34" s="1"/>
  <c r="B186" i="34"/>
  <c r="G123" i="13"/>
  <c r="E124" i="13"/>
  <c r="F124" i="13" s="1"/>
  <c r="D125" i="13" s="1"/>
  <c r="G124" i="13" l="1"/>
  <c r="B150" i="34"/>
  <c r="A103" i="34"/>
  <c r="B182" i="2"/>
  <c r="E125" i="13"/>
  <c r="F125" i="13" s="1"/>
  <c r="D355" i="2" l="1"/>
  <c r="B183" i="2"/>
  <c r="E186" i="2"/>
  <c r="A106" i="34"/>
  <c r="A107" i="34" s="1"/>
  <c r="A108" i="34" s="1"/>
  <c r="A109" i="34" s="1"/>
  <c r="A110" i="34" s="1"/>
  <c r="A111" i="34" s="1"/>
  <c r="A112" i="34" s="1"/>
  <c r="B100" i="34"/>
  <c r="D126" i="13"/>
  <c r="G125" i="13"/>
  <c r="B166" i="34" l="1"/>
  <c r="A115" i="34"/>
  <c r="B184" i="2"/>
  <c r="E187" i="2"/>
  <c r="E126" i="13"/>
  <c r="F126" i="13" s="1"/>
  <c r="D127" i="13" s="1"/>
  <c r="B185" i="2" l="1"/>
  <c r="E188" i="2"/>
  <c r="G126" i="13"/>
  <c r="A116" i="34"/>
  <c r="E127" i="13"/>
  <c r="F127" i="13" s="1"/>
  <c r="B186" i="2" l="1"/>
  <c r="B187" i="2" s="1"/>
  <c r="B188" i="2" s="1"/>
  <c r="B189" i="2" s="1"/>
  <c r="A117" i="34"/>
  <c r="A118" i="34" s="1"/>
  <c r="D128" i="13"/>
  <c r="G127" i="13"/>
  <c r="B118" i="34" l="1"/>
  <c r="A119" i="34"/>
  <c r="B119" i="34"/>
  <c r="C50" i="13"/>
  <c r="C50" i="20"/>
  <c r="B191" i="2"/>
  <c r="E34" i="2" s="1"/>
  <c r="E189" i="2"/>
  <c r="E128" i="13"/>
  <c r="F128" i="13" s="1"/>
  <c r="C49" i="20" l="1"/>
  <c r="C49" i="13"/>
  <c r="B193" i="2"/>
  <c r="E185" i="2"/>
  <c r="A121" i="34"/>
  <c r="D129" i="13"/>
  <c r="G128" i="13"/>
  <c r="A122" i="34" l="1"/>
  <c r="B195" i="2"/>
  <c r="D319" i="2"/>
  <c r="E129" i="13"/>
  <c r="F129" i="13" s="1"/>
  <c r="D130" i="13" s="1"/>
  <c r="B197" i="2" l="1"/>
  <c r="B199" i="2" s="1"/>
  <c r="D197" i="2"/>
  <c r="A123" i="34"/>
  <c r="A124" i="34" s="1"/>
  <c r="G129" i="13"/>
  <c r="E130" i="13"/>
  <c r="F130" i="13" s="1"/>
  <c r="D131" i="13" s="1"/>
  <c r="B124" i="34" l="1"/>
  <c r="D200" i="2"/>
  <c r="A125" i="34"/>
  <c r="B125" i="34"/>
  <c r="E13" i="2"/>
  <c r="B212" i="2"/>
  <c r="E131" i="13"/>
  <c r="F131" i="13" s="1"/>
  <c r="D132" i="13" s="1"/>
  <c r="G130" i="13"/>
  <c r="B213" i="2" l="1"/>
  <c r="B214" i="2" s="1"/>
  <c r="B215" i="2" s="1"/>
  <c r="A127" i="34"/>
  <c r="G131" i="13"/>
  <c r="E132" i="13"/>
  <c r="F132" i="13" s="1"/>
  <c r="D133" i="13" s="1"/>
  <c r="A128" i="34" l="1"/>
  <c r="E215" i="2"/>
  <c r="E217" i="2"/>
  <c r="E63" i="2"/>
  <c r="B217" i="2"/>
  <c r="B226" i="2" s="1"/>
  <c r="B227" i="2" s="1"/>
  <c r="B228" i="2" s="1"/>
  <c r="E133" i="13"/>
  <c r="F133" i="13" s="1"/>
  <c r="D134" i="13" s="1"/>
  <c r="G132" i="13"/>
  <c r="A129" i="34" l="1"/>
  <c r="A130" i="34" s="1"/>
  <c r="B229" i="2"/>
  <c r="B231" i="2" s="1"/>
  <c r="B232" i="2" s="1"/>
  <c r="B233" i="2" s="1"/>
  <c r="B235" i="2" s="1"/>
  <c r="B238" i="2" s="1"/>
  <c r="B239" i="2" s="1"/>
  <c r="E134" i="13"/>
  <c r="F134" i="13" s="1"/>
  <c r="D135" i="13" s="1"/>
  <c r="G133" i="13"/>
  <c r="B130" i="34" l="1"/>
  <c r="E233" i="2"/>
  <c r="A131" i="34"/>
  <c r="B131" i="34"/>
  <c r="B240" i="2"/>
  <c r="B241" i="2" s="1"/>
  <c r="B242" i="2" s="1"/>
  <c r="G134" i="13"/>
  <c r="E135" i="13"/>
  <c r="F135" i="13" s="1"/>
  <c r="D136" i="13" s="1"/>
  <c r="A133" i="34" l="1"/>
  <c r="B243" i="2"/>
  <c r="E136" i="13"/>
  <c r="F136" i="13" s="1"/>
  <c r="G135" i="13"/>
  <c r="D250" i="2" l="1"/>
  <c r="B244" i="2"/>
  <c r="B245" i="2" s="1"/>
  <c r="B246" i="2" s="1"/>
  <c r="A134" i="34"/>
  <c r="D137" i="13"/>
  <c r="G136" i="13"/>
  <c r="E246" i="2" l="1"/>
  <c r="D251" i="2"/>
  <c r="B249" i="2"/>
  <c r="A135" i="34"/>
  <c r="A136" i="34" s="1"/>
  <c r="E137" i="13"/>
  <c r="F137" i="13" s="1"/>
  <c r="D138" i="13" s="1"/>
  <c r="B250" i="2" l="1"/>
  <c r="B251" i="2" s="1"/>
  <c r="C19" i="20" s="1"/>
  <c r="A137" i="34"/>
  <c r="B139" i="34"/>
  <c r="B137" i="34"/>
  <c r="B136" i="34"/>
  <c r="E138" i="13"/>
  <c r="F138" i="13" s="1"/>
  <c r="D139" i="13" s="1"/>
  <c r="G137" i="13"/>
  <c r="G138" i="13" l="1"/>
  <c r="A139" i="34"/>
  <c r="B140" i="34"/>
  <c r="C16" i="13"/>
  <c r="C16" i="20"/>
  <c r="B252" i="2"/>
  <c r="D366" i="2"/>
  <c r="D252" i="2"/>
  <c r="C19" i="13"/>
  <c r="E139" i="13"/>
  <c r="F139" i="13" s="1"/>
  <c r="D140" i="13" s="1"/>
  <c r="G139" i="13" l="1"/>
  <c r="B254" i="2"/>
  <c r="B256" i="2"/>
  <c r="B257" i="2" s="1"/>
  <c r="B258" i="2" s="1"/>
  <c r="B259" i="2" s="1"/>
  <c r="B260" i="2" s="1"/>
  <c r="E191" i="2"/>
  <c r="D179" i="2"/>
  <c r="B151" i="34"/>
  <c r="B144" i="34"/>
  <c r="A140" i="34"/>
  <c r="B202" i="34"/>
  <c r="E140" i="13"/>
  <c r="F140" i="13" s="1"/>
  <c r="A143" i="34" l="1"/>
  <c r="B167" i="34"/>
  <c r="B261" i="2"/>
  <c r="B262" i="2" s="1"/>
  <c r="B263" i="2" s="1"/>
  <c r="B264" i="2" s="1"/>
  <c r="B266" i="2" s="1"/>
  <c r="B267" i="2" s="1"/>
  <c r="B268" i="2" s="1"/>
  <c r="B269" i="2" s="1"/>
  <c r="B270" i="2" s="1"/>
  <c r="D141" i="13"/>
  <c r="E141" i="13" s="1"/>
  <c r="F141" i="13" s="1"/>
  <c r="G140" i="13"/>
  <c r="E264" i="2" l="1"/>
  <c r="A144" i="34"/>
  <c r="A145" i="34" s="1"/>
  <c r="B206" i="34"/>
  <c r="D142" i="13"/>
  <c r="G141" i="13"/>
  <c r="A146" i="34" l="1"/>
  <c r="B208" i="34"/>
  <c r="E142" i="13"/>
  <c r="F142" i="13" s="1"/>
  <c r="A147" i="34" l="1"/>
  <c r="B209" i="34"/>
  <c r="D143" i="13"/>
  <c r="G142" i="13"/>
  <c r="B152" i="34" l="1"/>
  <c r="A150" i="34"/>
  <c r="E143" i="13"/>
  <c r="F143" i="13" s="1"/>
  <c r="D144" i="13" s="1"/>
  <c r="A151" i="34" l="1"/>
  <c r="E144" i="13"/>
  <c r="F144" i="13" s="1"/>
  <c r="D145" i="13" s="1"/>
  <c r="G143" i="13"/>
  <c r="A152" i="34" l="1"/>
  <c r="E145" i="13"/>
  <c r="F145" i="13" s="1"/>
  <c r="G144" i="13"/>
  <c r="A153" i="34" l="1"/>
  <c r="D146" i="13"/>
  <c r="G145" i="13"/>
  <c r="A155" i="34" l="1"/>
  <c r="B155" i="34"/>
  <c r="B156" i="34"/>
  <c r="B157" i="34"/>
  <c r="E146" i="13"/>
  <c r="F146" i="13" s="1"/>
  <c r="D147" i="13" s="1"/>
  <c r="A156" i="34" l="1"/>
  <c r="E147" i="13"/>
  <c r="F147" i="13" s="1"/>
  <c r="D148" i="13" s="1"/>
  <c r="G146" i="13"/>
  <c r="A157" i="34" l="1"/>
  <c r="E148" i="13"/>
  <c r="F148" i="13" s="1"/>
  <c r="D149" i="13" s="1"/>
  <c r="E149" i="13" s="1"/>
  <c r="F149" i="13" s="1"/>
  <c r="D150" i="13" s="1"/>
  <c r="G147" i="13"/>
  <c r="G148" i="13" l="1"/>
  <c r="G149" i="13"/>
  <c r="A159" i="34"/>
  <c r="A161" i="34" s="1"/>
  <c r="A162" i="34" s="1"/>
  <c r="A163" i="34" s="1"/>
  <c r="A166" i="34" s="1"/>
  <c r="E150" i="13"/>
  <c r="F150" i="13" s="1"/>
  <c r="A167" i="34" l="1"/>
  <c r="B171" i="34"/>
  <c r="D151" i="13"/>
  <c r="G150" i="13"/>
  <c r="A168" i="34" l="1"/>
  <c r="B172" i="34"/>
  <c r="E151" i="13"/>
  <c r="F151" i="13" s="1"/>
  <c r="D152" i="13" s="1"/>
  <c r="A171" i="34" l="1"/>
  <c r="A172" i="34" s="1"/>
  <c r="A173" i="34" s="1"/>
  <c r="A174" i="34" s="1"/>
  <c r="A183" i="34" s="1"/>
  <c r="A184" i="34" s="1"/>
  <c r="A185" i="34" s="1"/>
  <c r="A186" i="34" s="1"/>
  <c r="A187" i="34" s="1"/>
  <c r="A188" i="34" s="1"/>
  <c r="B173" i="34"/>
  <c r="E152" i="13"/>
  <c r="F152" i="13" s="1"/>
  <c r="G151" i="13"/>
  <c r="A190" i="34" l="1"/>
  <c r="B213" i="34"/>
  <c r="D153" i="13"/>
  <c r="G152" i="13"/>
  <c r="B187" i="34" l="1"/>
  <c r="A193" i="34"/>
  <c r="A194" i="34" s="1"/>
  <c r="A195" i="34" s="1"/>
  <c r="A196" i="34" s="1"/>
  <c r="A197" i="34" s="1"/>
  <c r="A198" i="34" s="1"/>
  <c r="A199" i="34" s="1"/>
  <c r="E153" i="13"/>
  <c r="F153" i="13" s="1"/>
  <c r="D154" i="13" s="1"/>
  <c r="E257" i="2" l="1"/>
  <c r="A202" i="34"/>
  <c r="B229" i="34"/>
  <c r="G153" i="13"/>
  <c r="E154" i="13"/>
  <c r="F154" i="13" s="1"/>
  <c r="B207" i="34" l="1"/>
  <c r="A203" i="34"/>
  <c r="B214" i="34"/>
  <c r="D155" i="13"/>
  <c r="G154" i="13"/>
  <c r="B230" i="34" l="1"/>
  <c r="E258" i="2"/>
  <c r="A206" i="34"/>
  <c r="E155" i="13"/>
  <c r="F155" i="13" s="1"/>
  <c r="E260" i="2" l="1"/>
  <c r="A207" i="34"/>
  <c r="D156" i="13"/>
  <c r="E156" i="13" s="1"/>
  <c r="F156" i="13" s="1"/>
  <c r="G155" i="13"/>
  <c r="A208" i="34" l="1"/>
  <c r="E261" i="2"/>
  <c r="D157" i="13"/>
  <c r="G156" i="13"/>
  <c r="A209" i="34" l="1"/>
  <c r="E262" i="2"/>
  <c r="E157" i="13"/>
  <c r="F157" i="13" s="1"/>
  <c r="D158" i="13" s="1"/>
  <c r="E263" i="2" l="1"/>
  <c r="A210" i="34"/>
  <c r="E158" i="13"/>
  <c r="F158" i="13" s="1"/>
  <c r="D159" i="13" s="1"/>
  <c r="G157" i="13"/>
  <c r="A213" i="34" l="1"/>
  <c r="B215" i="34"/>
  <c r="E159" i="13"/>
  <c r="E160" i="13" s="1"/>
  <c r="G158" i="13"/>
  <c r="A214" i="34" l="1"/>
  <c r="D267" i="2"/>
  <c r="F159" i="13"/>
  <c r="G159" i="13" s="1"/>
  <c r="A215" i="34" l="1"/>
  <c r="D268" i="2"/>
  <c r="A216" i="34" l="1"/>
  <c r="D269" i="2"/>
  <c r="D270" i="2" l="1"/>
  <c r="A218" i="34"/>
  <c r="B218" i="34"/>
  <c r="B219" i="34"/>
  <c r="B220" i="34"/>
  <c r="A219" i="34" l="1"/>
  <c r="A220" i="34" l="1"/>
  <c r="A222" i="34" l="1"/>
  <c r="A224" i="34" s="1"/>
  <c r="A225" i="34" s="1"/>
  <c r="A226" i="34" s="1"/>
  <c r="A229" i="34" s="1"/>
  <c r="A230" i="34" l="1"/>
  <c r="B234" i="34"/>
  <c r="A231" i="34" l="1"/>
  <c r="B235" i="34"/>
  <c r="A234" i="34" l="1"/>
  <c r="A235" i="34" s="1"/>
  <c r="A236" i="34" s="1"/>
  <c r="A237" i="34" s="1"/>
  <c r="B236" i="34"/>
  <c r="E89" i="31" l="1"/>
  <c r="E39" i="11" s="1"/>
  <c r="M39" i="11" s="1"/>
  <c r="E14" i="31" l="1"/>
  <c r="E17" i="11" s="1"/>
  <c r="M17" i="11" l="1"/>
  <c r="E98" i="31" l="1"/>
  <c r="E95" i="31"/>
  <c r="E40" i="11" s="1"/>
  <c r="M40" i="11" s="1"/>
  <c r="E86" i="31"/>
  <c r="E38" i="11" s="1"/>
  <c r="K38" i="11" s="1"/>
  <c r="E81" i="31"/>
  <c r="E37" i="11" s="1"/>
  <c r="K37" i="11" s="1"/>
  <c r="E69" i="31"/>
  <c r="E36" i="11" s="1"/>
  <c r="K36" i="11" s="1"/>
  <c r="E52" i="31"/>
  <c r="E27" i="11" s="1"/>
  <c r="I27" i="11" s="1"/>
  <c r="E65" i="31"/>
  <c r="E35" i="11" s="1"/>
  <c r="K35" i="11" s="1"/>
  <c r="E62" i="31"/>
  <c r="E34" i="11" s="1"/>
  <c r="M34" i="11" s="1"/>
  <c r="E54" i="31"/>
  <c r="E28" i="11" s="1"/>
  <c r="I28" i="11" s="1"/>
  <c r="E59" i="31"/>
  <c r="E31" i="11" s="1"/>
  <c r="M31" i="11" s="1"/>
  <c r="E50" i="31"/>
  <c r="E26" i="11" s="1"/>
  <c r="I26" i="11" s="1"/>
  <c r="M43" i="11" l="1"/>
  <c r="G172" i="2" s="1"/>
  <c r="L172" i="2" s="1"/>
  <c r="I43" i="11"/>
  <c r="G169" i="2" s="1"/>
  <c r="K43" i="11"/>
  <c r="G173" i="2" s="1"/>
  <c r="I65" i="6" l="1"/>
  <c r="I41" i="6"/>
  <c r="I67" i="6"/>
  <c r="K67" i="6" s="1"/>
  <c r="E67" i="6" s="1"/>
  <c r="I43" i="6"/>
  <c r="K43" i="6" s="1"/>
  <c r="E43" i="6" s="1"/>
  <c r="I66" i="6"/>
  <c r="K66" i="6" s="1"/>
  <c r="E66" i="6" s="1"/>
  <c r="I42" i="6"/>
  <c r="K42" i="6" s="1"/>
  <c r="E42" i="6" s="1"/>
  <c r="E81" i="6" l="1"/>
  <c r="E32" i="6" s="1"/>
  <c r="D57" i="6"/>
  <c r="D31" i="6" s="1"/>
  <c r="I57" i="6"/>
  <c r="I31" i="6" s="1"/>
  <c r="K41" i="6"/>
  <c r="D81" i="6"/>
  <c r="D32" i="6" s="1"/>
  <c r="K65" i="6"/>
  <c r="K81" i="6" s="1"/>
  <c r="K32" i="6" s="1"/>
  <c r="I81" i="6"/>
  <c r="I32" i="6" s="1"/>
  <c r="I33" i="6" l="1"/>
  <c r="G111" i="2" s="1"/>
  <c r="D33" i="6"/>
  <c r="K57" i="6"/>
  <c r="K31" i="6" s="1"/>
  <c r="K33" i="6" s="1"/>
  <c r="E41" i="6"/>
  <c r="E57" i="6" s="1"/>
  <c r="E31" i="6" s="1"/>
  <c r="E33" i="6" s="1"/>
  <c r="G113" i="2" s="1"/>
  <c r="L113" i="2" s="1"/>
  <c r="I27" i="8" l="1"/>
  <c r="I31" i="8" s="1"/>
  <c r="J21" i="8"/>
  <c r="K17" i="8"/>
  <c r="K27" i="8" s="1"/>
  <c r="K31" i="8" s="1"/>
  <c r="G15" i="2" s="1"/>
  <c r="L15" i="2" s="1"/>
  <c r="J17" i="8" l="1"/>
  <c r="J27" i="8" s="1"/>
  <c r="J31" i="8" s="1"/>
  <c r="G39" i="42" l="1"/>
  <c r="G21" i="42"/>
  <c r="G39" i="35"/>
  <c r="G21" i="35" l="1"/>
  <c r="G22" i="35" s="1"/>
  <c r="G22" i="42"/>
  <c r="I21" i="42"/>
  <c r="G40" i="42"/>
  <c r="G39" i="41"/>
  <c r="G21" i="41"/>
  <c r="G40" i="35"/>
  <c r="I21" i="35" l="1"/>
  <c r="L21" i="35" s="1"/>
  <c r="L21" i="42"/>
  <c r="G41" i="42"/>
  <c r="G23" i="42"/>
  <c r="I22" i="42"/>
  <c r="L22" i="42" s="1"/>
  <c r="G22" i="41"/>
  <c r="G40" i="41"/>
  <c r="G41" i="35"/>
  <c r="G23" i="35"/>
  <c r="I22" i="35"/>
  <c r="L22" i="35" s="1"/>
  <c r="G24" i="42" l="1"/>
  <c r="I23" i="42"/>
  <c r="L23" i="42" s="1"/>
  <c r="G42" i="42"/>
  <c r="G41" i="41"/>
  <c r="G23" i="41"/>
  <c r="G24" i="35"/>
  <c r="I23" i="35"/>
  <c r="L23" i="35" s="1"/>
  <c r="G42" i="35"/>
  <c r="G43" i="42" l="1"/>
  <c r="G25" i="42"/>
  <c r="I24" i="42"/>
  <c r="G24" i="41"/>
  <c r="G42" i="41"/>
  <c r="G43" i="35"/>
  <c r="G25" i="35"/>
  <c r="I24" i="35"/>
  <c r="L24" i="42" l="1"/>
  <c r="G26" i="42"/>
  <c r="I25" i="42"/>
  <c r="L25" i="42" s="1"/>
  <c r="G44" i="42"/>
  <c r="G43" i="41"/>
  <c r="G25" i="41"/>
  <c r="L24" i="35"/>
  <c r="G26" i="35"/>
  <c r="I25" i="35"/>
  <c r="L25" i="35" s="1"/>
  <c r="G44" i="35"/>
  <c r="G45" i="42" l="1"/>
  <c r="G27" i="42"/>
  <c r="I26" i="42"/>
  <c r="L26" i="42" s="1"/>
  <c r="G26" i="41"/>
  <c r="G44" i="41"/>
  <c r="G27" i="35"/>
  <c r="I26" i="35"/>
  <c r="L26" i="35" s="1"/>
  <c r="G45" i="35"/>
  <c r="G28" i="42" l="1"/>
  <c r="I27" i="42"/>
  <c r="G46" i="42"/>
  <c r="G45" i="41"/>
  <c r="G27" i="41"/>
  <c r="G46" i="35"/>
  <c r="G28" i="35"/>
  <c r="I27" i="35"/>
  <c r="G47" i="42" l="1"/>
  <c r="L27" i="42"/>
  <c r="G29" i="42"/>
  <c r="I28" i="42"/>
  <c r="L28" i="42" s="1"/>
  <c r="G28" i="41"/>
  <c r="G46" i="41"/>
  <c r="L27" i="35"/>
  <c r="G29" i="35"/>
  <c r="I28" i="35"/>
  <c r="L28" i="35" s="1"/>
  <c r="G47" i="35"/>
  <c r="G30" i="42" l="1"/>
  <c r="I29" i="42"/>
  <c r="L29" i="42" s="1"/>
  <c r="G48" i="42"/>
  <c r="G47" i="41"/>
  <c r="G29" i="41"/>
  <c r="G48" i="35"/>
  <c r="G30" i="35"/>
  <c r="I29" i="35"/>
  <c r="L29" i="35" s="1"/>
  <c r="G49" i="42" l="1"/>
  <c r="G31" i="42"/>
  <c r="I30" i="42"/>
  <c r="L30" i="42" s="1"/>
  <c r="G30" i="41"/>
  <c r="G48" i="41"/>
  <c r="G31" i="35"/>
  <c r="I30" i="35"/>
  <c r="L30" i="35" s="1"/>
  <c r="G49" i="35"/>
  <c r="G32" i="42" l="1"/>
  <c r="I31" i="42"/>
  <c r="L31" i="42" s="1"/>
  <c r="G50" i="42"/>
  <c r="G49" i="41"/>
  <c r="G31" i="41"/>
  <c r="G50" i="35"/>
  <c r="G32" i="35"/>
  <c r="I31" i="35"/>
  <c r="L31" i="35" s="1"/>
  <c r="G36" i="42" l="1"/>
  <c r="I32" i="42"/>
  <c r="G32" i="41"/>
  <c r="G50" i="41"/>
  <c r="G36" i="35"/>
  <c r="I32" i="35"/>
  <c r="L32" i="42" l="1"/>
  <c r="L33" i="42" s="1"/>
  <c r="E36" i="42" s="1"/>
  <c r="I36" i="42" s="1"/>
  <c r="L36" i="42" s="1"/>
  <c r="I33" i="42"/>
  <c r="G36" i="41"/>
  <c r="L32" i="35"/>
  <c r="L33" i="35" s="1"/>
  <c r="E36" i="35" s="1"/>
  <c r="I36" i="35" s="1"/>
  <c r="L36" i="35" s="1"/>
  <c r="I33" i="35"/>
  <c r="E39" i="42" l="1"/>
  <c r="J39" i="42"/>
  <c r="E39" i="35"/>
  <c r="J39" i="35"/>
  <c r="J40" i="42" l="1"/>
  <c r="J41" i="42" s="1"/>
  <c r="J42" i="42" s="1"/>
  <c r="J43" i="42" s="1"/>
  <c r="J44" i="42" s="1"/>
  <c r="J45" i="42" s="1"/>
  <c r="J46" i="42" s="1"/>
  <c r="J47" i="42" s="1"/>
  <c r="J48" i="42" s="1"/>
  <c r="J49" i="42" s="1"/>
  <c r="J50" i="42" s="1"/>
  <c r="L39" i="42"/>
  <c r="E40" i="42" s="1"/>
  <c r="I39" i="42"/>
  <c r="L39" i="35"/>
  <c r="E40" i="35" s="1"/>
  <c r="I39" i="35"/>
  <c r="J40" i="35"/>
  <c r="J41" i="35" s="1"/>
  <c r="J42" i="35" s="1"/>
  <c r="J43" i="35" s="1"/>
  <c r="J44" i="35" s="1"/>
  <c r="J45" i="35" s="1"/>
  <c r="J46" i="35" s="1"/>
  <c r="J47" i="35" s="1"/>
  <c r="J48" i="35" s="1"/>
  <c r="J49" i="35" s="1"/>
  <c r="J50" i="35" s="1"/>
  <c r="J53" i="35" l="1"/>
  <c r="J53" i="42"/>
  <c r="L40" i="42"/>
  <c r="E41" i="42" s="1"/>
  <c r="I40" i="42"/>
  <c r="L40" i="35"/>
  <c r="E41" i="35" s="1"/>
  <c r="I40" i="35"/>
  <c r="J55" i="42" l="1"/>
  <c r="J55" i="35"/>
  <c r="L41" i="42"/>
  <c r="E42" i="42" s="1"/>
  <c r="I41" i="42"/>
  <c r="L41" i="35"/>
  <c r="E42" i="35" s="1"/>
  <c r="I41" i="35"/>
  <c r="L42" i="42" l="1"/>
  <c r="E43" i="42" s="1"/>
  <c r="I42" i="42"/>
  <c r="L42" i="35"/>
  <c r="E43" i="35" s="1"/>
  <c r="I42" i="35"/>
  <c r="L43" i="42" l="1"/>
  <c r="E44" i="42" s="1"/>
  <c r="I43" i="42"/>
  <c r="L43" i="35"/>
  <c r="E44" i="35" s="1"/>
  <c r="I43" i="35"/>
  <c r="L44" i="42" l="1"/>
  <c r="E45" i="42" s="1"/>
  <c r="I44" i="42"/>
  <c r="L44" i="35"/>
  <c r="E45" i="35" s="1"/>
  <c r="I44" i="35"/>
  <c r="L45" i="42" l="1"/>
  <c r="E46" i="42" s="1"/>
  <c r="I45" i="42"/>
  <c r="L45" i="35"/>
  <c r="E46" i="35" s="1"/>
  <c r="I45" i="35"/>
  <c r="L46" i="42" l="1"/>
  <c r="E47" i="42" s="1"/>
  <c r="I46" i="42"/>
  <c r="L46" i="35"/>
  <c r="E47" i="35" s="1"/>
  <c r="I46" i="35"/>
  <c r="L47" i="42" l="1"/>
  <c r="E48" i="42" s="1"/>
  <c r="I47" i="42"/>
  <c r="L47" i="35"/>
  <c r="E48" i="35" s="1"/>
  <c r="I47" i="35"/>
  <c r="L48" i="42" l="1"/>
  <c r="E49" i="42" s="1"/>
  <c r="I48" i="42"/>
  <c r="L48" i="35"/>
  <c r="E49" i="35" s="1"/>
  <c r="I48" i="35"/>
  <c r="L49" i="42" l="1"/>
  <c r="E50" i="42" s="1"/>
  <c r="I49" i="42"/>
  <c r="L49" i="35"/>
  <c r="E50" i="35" s="1"/>
  <c r="I49" i="35"/>
  <c r="L50" i="42" l="1"/>
  <c r="I50" i="42"/>
  <c r="I51" i="42" s="1"/>
  <c r="L50" i="35"/>
  <c r="I50" i="35"/>
  <c r="I51" i="35" s="1"/>
  <c r="I24" i="31" l="1"/>
  <c r="I23" i="31" s="1"/>
  <c r="F101" i="31"/>
  <c r="E23" i="31"/>
  <c r="E30" i="31"/>
  <c r="E21" i="11" s="1"/>
  <c r="G21" i="11" s="1"/>
  <c r="I31" i="31"/>
  <c r="I30" i="31" s="1"/>
  <c r="E20" i="11" l="1"/>
  <c r="E22" i="31"/>
  <c r="I22" i="31"/>
  <c r="L171" i="2" s="1"/>
  <c r="G171" i="2" l="1"/>
  <c r="G174" i="2" s="1"/>
  <c r="E101" i="31"/>
  <c r="E43" i="11"/>
  <c r="G20" i="11"/>
  <c r="G43" i="11" s="1"/>
  <c r="F70" i="9" l="1"/>
  <c r="F72" i="9" s="1"/>
  <c r="G151" i="2" s="1"/>
  <c r="L151" i="2" s="1"/>
  <c r="E69" i="9" l="1"/>
  <c r="E68" i="9"/>
  <c r="E67" i="9" l="1"/>
  <c r="E72" i="9" s="1"/>
  <c r="D72" i="9"/>
  <c r="G146" i="2" s="1"/>
  <c r="I43" i="5" l="1"/>
  <c r="G44" i="5"/>
  <c r="I25" i="5"/>
  <c r="G92" i="2" s="1"/>
  <c r="E44" i="5"/>
  <c r="I41" i="5"/>
  <c r="G28" i="5"/>
  <c r="I33" i="5" l="1"/>
  <c r="G93" i="2" s="1"/>
  <c r="G94" i="2"/>
  <c r="I44" i="5"/>
  <c r="L94" i="2" s="1"/>
  <c r="I17" i="5"/>
  <c r="G20" i="5"/>
  <c r="G36" i="5"/>
  <c r="G91" i="2" l="1"/>
  <c r="G96" i="2" s="1"/>
  <c r="E36" i="5" l="1"/>
  <c r="I35" i="5"/>
  <c r="I36" i="5" s="1"/>
  <c r="L93" i="2" s="1"/>
  <c r="I19" i="5"/>
  <c r="I20" i="5" s="1"/>
  <c r="L91" i="2" s="1"/>
  <c r="E20" i="5"/>
  <c r="E28" i="5" l="1"/>
  <c r="I27" i="5"/>
  <c r="I28" i="5" s="1"/>
  <c r="L92" i="2" s="1"/>
  <c r="L96" i="2" s="1"/>
  <c r="I10" i="41" l="1"/>
  <c r="J54" i="41" l="1"/>
  <c r="E21" i="41"/>
  <c r="E22" i="41" l="1"/>
  <c r="I21" i="41"/>
  <c r="L21" i="41" l="1"/>
  <c r="E23" i="41"/>
  <c r="I22" i="41"/>
  <c r="L22" i="41" s="1"/>
  <c r="E24" i="41" l="1"/>
  <c r="I23" i="41"/>
  <c r="L23" i="41" s="1"/>
  <c r="E25" i="41" l="1"/>
  <c r="I24" i="41"/>
  <c r="L24" i="41" s="1"/>
  <c r="E26" i="41" l="1"/>
  <c r="I25" i="41"/>
  <c r="L25" i="41" l="1"/>
  <c r="E27" i="41"/>
  <c r="I26" i="41"/>
  <c r="L26" i="41" s="1"/>
  <c r="E28" i="41" l="1"/>
  <c r="I27" i="41"/>
  <c r="L27" i="41" s="1"/>
  <c r="E29" i="41" l="1"/>
  <c r="I28" i="41"/>
  <c r="L28" i="41" s="1"/>
  <c r="E30" i="41" l="1"/>
  <c r="I29" i="41"/>
  <c r="L29" i="41" s="1"/>
  <c r="E31" i="41" l="1"/>
  <c r="I30" i="41"/>
  <c r="L30" i="41" s="1"/>
  <c r="E32" i="41" l="1"/>
  <c r="I32" i="41" s="1"/>
  <c r="I31" i="41"/>
  <c r="L31" i="41" s="1"/>
  <c r="L32" i="41" l="1"/>
  <c r="L33" i="41" s="1"/>
  <c r="E36" i="41" s="1"/>
  <c r="I36" i="41" s="1"/>
  <c r="L36" i="41" s="1"/>
  <c r="I33" i="41"/>
  <c r="J39" i="41" l="1"/>
  <c r="E39" i="41"/>
  <c r="L39" i="41" l="1"/>
  <c r="E40" i="41" s="1"/>
  <c r="I39" i="41"/>
  <c r="J40" i="41"/>
  <c r="J41" i="41" s="1"/>
  <c r="J42" i="41" s="1"/>
  <c r="J43" i="41" s="1"/>
  <c r="J44" i="41" s="1"/>
  <c r="J45" i="41" s="1"/>
  <c r="J46" i="41" s="1"/>
  <c r="J47" i="41" s="1"/>
  <c r="J48" i="41" s="1"/>
  <c r="J49" i="41" s="1"/>
  <c r="J50" i="41" s="1"/>
  <c r="J53" i="41" s="1"/>
  <c r="J55" i="41" l="1"/>
  <c r="L40" i="41"/>
  <c r="E41" i="41" s="1"/>
  <c r="I40" i="41"/>
  <c r="I41" i="41" l="1"/>
  <c r="L41" i="41"/>
  <c r="E42" i="41" s="1"/>
  <c r="I42" i="41" l="1"/>
  <c r="L42" i="41"/>
  <c r="E43" i="41" s="1"/>
  <c r="I43" i="41" l="1"/>
  <c r="L43" i="41"/>
  <c r="E44" i="41" s="1"/>
  <c r="L44" i="41" l="1"/>
  <c r="E45" i="41" s="1"/>
  <c r="I44" i="41"/>
  <c r="L45" i="41" l="1"/>
  <c r="E46" i="41" s="1"/>
  <c r="I45" i="41"/>
  <c r="L46" i="41" l="1"/>
  <c r="E47" i="41" s="1"/>
  <c r="I46" i="41"/>
  <c r="L47" i="41" l="1"/>
  <c r="E48" i="41" s="1"/>
  <c r="I47" i="41"/>
  <c r="L48" i="41" l="1"/>
  <c r="E49" i="41" s="1"/>
  <c r="I48" i="41"/>
  <c r="L49" i="41" l="1"/>
  <c r="E50" i="41" s="1"/>
  <c r="I49" i="41"/>
  <c r="I50" i="41" l="1"/>
  <c r="I51" i="41" s="1"/>
  <c r="L50" i="41"/>
  <c r="E62" i="38" l="1"/>
  <c r="L213" i="2" s="1"/>
  <c r="L215" i="2" s="1"/>
  <c r="L63" i="2" s="1"/>
  <c r="L217" i="2" l="1"/>
  <c r="J149" i="2" s="1"/>
  <c r="H75" i="13"/>
  <c r="J71" i="2"/>
  <c r="G75" i="20"/>
  <c r="J140" i="2" l="1"/>
  <c r="J106" i="2" s="1"/>
  <c r="L106" i="2" s="1"/>
  <c r="J228" i="2"/>
  <c r="L228" i="2" s="1"/>
  <c r="L233" i="2" s="1"/>
  <c r="L235" i="2" s="1"/>
  <c r="J75" i="2" s="1"/>
  <c r="L75" i="2" s="1"/>
  <c r="J74" i="2"/>
  <c r="L74" i="2" s="1"/>
  <c r="J161" i="2"/>
  <c r="L161" i="2" s="1"/>
  <c r="H76" i="13" s="1"/>
  <c r="H77" i="13" s="1"/>
  <c r="H78" i="13" s="1"/>
  <c r="H79" i="13" s="1"/>
  <c r="D96" i="13" s="1"/>
  <c r="J150" i="2"/>
  <c r="J64" i="2" l="1"/>
  <c r="L64" i="2" s="1"/>
  <c r="J67" i="2"/>
  <c r="L67" i="2" s="1"/>
  <c r="J76" i="2"/>
  <c r="L76" i="2" s="1"/>
  <c r="J147" i="2"/>
  <c r="J110" i="2"/>
  <c r="L110" i="2" s="1"/>
  <c r="J108" i="2"/>
  <c r="L108" i="2" s="1"/>
  <c r="J77" i="2"/>
  <c r="L77" i="2" s="1"/>
  <c r="G59" i="20"/>
  <c r="F59" i="13"/>
  <c r="G76" i="20"/>
  <c r="G77" i="20" s="1"/>
  <c r="G78" i="20" s="1"/>
  <c r="G79" i="20" s="1"/>
  <c r="D1263" i="20" s="1"/>
  <c r="I1264" i="20" s="1"/>
  <c r="E1267" i="20" s="1"/>
  <c r="J65" i="2"/>
  <c r="L65" i="2" s="1"/>
  <c r="J163" i="2"/>
  <c r="L163" i="2" s="1"/>
  <c r="J66" i="2"/>
  <c r="L66" i="2" s="1"/>
  <c r="J102" i="2"/>
  <c r="L102" i="2" s="1"/>
  <c r="J169" i="2"/>
  <c r="L169" i="2" s="1"/>
  <c r="J152" i="2"/>
  <c r="L152" i="2" s="1"/>
  <c r="J162" i="2"/>
  <c r="L162" i="2" s="1"/>
  <c r="L85" i="2" l="1"/>
  <c r="L84" i="2"/>
  <c r="L70" i="2"/>
  <c r="J70" i="2" s="1"/>
  <c r="J111" i="2" s="1"/>
  <c r="L111" i="2" s="1"/>
  <c r="L165" i="2"/>
  <c r="D633" i="20"/>
  <c r="I634" i="20" s="1"/>
  <c r="E637" i="20" s="1"/>
  <c r="F637" i="20" s="1"/>
  <c r="D638" i="20" s="1"/>
  <c r="E638" i="20" s="1"/>
  <c r="F638" i="20" s="1"/>
  <c r="D639" i="20" s="1"/>
  <c r="E639" i="20" s="1"/>
  <c r="F639" i="20" s="1"/>
  <c r="D640" i="20" s="1"/>
  <c r="E640" i="20" s="1"/>
  <c r="F640" i="20" s="1"/>
  <c r="D641" i="20" s="1"/>
  <c r="E641" i="20" s="1"/>
  <c r="F641" i="20" s="1"/>
  <c r="D642" i="20" s="1"/>
  <c r="E642" i="20" s="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D902" i="20"/>
  <c r="I903" i="20" s="1"/>
  <c r="E906" i="20" s="1"/>
  <c r="F906" i="20" s="1"/>
  <c r="D907" i="20" s="1"/>
  <c r="E907" i="20" s="1"/>
  <c r="F907" i="20" s="1"/>
  <c r="D908" i="20" s="1"/>
  <c r="E908" i="20" s="1"/>
  <c r="F908" i="20" s="1"/>
  <c r="D909" i="20" s="1"/>
  <c r="E909" i="20" s="1"/>
  <c r="F909" i="20" s="1"/>
  <c r="D910" i="20" s="1"/>
  <c r="E910" i="20" s="1"/>
  <c r="F910" i="20" s="1"/>
  <c r="D911" i="20" s="1"/>
  <c r="E911" i="20" s="1"/>
  <c r="F911" i="20" s="1"/>
  <c r="D912" i="20" s="1"/>
  <c r="E912" i="20" s="1"/>
  <c r="F912" i="20" s="1"/>
  <c r="D913" i="20" s="1"/>
  <c r="E913" i="20" s="1"/>
  <c r="F913" i="20" s="1"/>
  <c r="D914" i="20" s="1"/>
  <c r="E914" i="20" s="1"/>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D722" i="20"/>
  <c r="I723" i="20" s="1"/>
  <c r="E726" i="20" s="1"/>
  <c r="F726" i="20" s="1"/>
  <c r="D727" i="20" s="1"/>
  <c r="E727" i="20" s="1"/>
  <c r="F727" i="20" s="1"/>
  <c r="D728" i="20" s="1"/>
  <c r="E728" i="20" s="1"/>
  <c r="F728" i="20" s="1"/>
  <c r="D729" i="20" s="1"/>
  <c r="E729" i="20" s="1"/>
  <c r="F729" i="20" s="1"/>
  <c r="D730" i="20" s="1"/>
  <c r="E730" i="20" s="1"/>
  <c r="F730" i="20" s="1"/>
  <c r="D731" i="20" s="1"/>
  <c r="E731" i="20" s="1"/>
  <c r="F731" i="20" s="1"/>
  <c r="D732" i="20" s="1"/>
  <c r="E732" i="20" s="1"/>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E762" i="20" s="1"/>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D97" i="20"/>
  <c r="I98" i="20" s="1"/>
  <c r="E101" i="20" s="1"/>
  <c r="F101" i="20" s="1"/>
  <c r="D102" i="20" s="1"/>
  <c r="E102" i="20" s="1"/>
  <c r="F102" i="20" s="1"/>
  <c r="D103" i="20" s="1"/>
  <c r="E103" i="20" s="1"/>
  <c r="F103" i="20" s="1"/>
  <c r="D104" i="20" s="1"/>
  <c r="E104" i="20" s="1"/>
  <c r="F104" i="20" s="1"/>
  <c r="D105" i="20" s="1"/>
  <c r="E105" i="20" s="1"/>
  <c r="F105" i="20" s="1"/>
  <c r="D106" i="20" s="1"/>
  <c r="E106" i="20" s="1"/>
  <c r="F106" i="20" s="1"/>
  <c r="D107" i="20" s="1"/>
  <c r="E107" i="20" s="1"/>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D1083" i="20"/>
  <c r="I1084" i="20" s="1"/>
  <c r="E1087" i="20" s="1"/>
  <c r="F1087" i="20" s="1"/>
  <c r="D1088" i="20" s="1"/>
  <c r="E1088" i="20" s="1"/>
  <c r="F1088" i="20" s="1"/>
  <c r="D1089" i="20" s="1"/>
  <c r="E1089" i="20" s="1"/>
  <c r="F1089" i="20" s="1"/>
  <c r="D1090" i="20" s="1"/>
  <c r="E1090" i="20" s="1"/>
  <c r="F1090" i="20" s="1"/>
  <c r="D1091" i="20" s="1"/>
  <c r="E1091" i="20" s="1"/>
  <c r="F1091" i="20" s="1"/>
  <c r="D1092" i="20" s="1"/>
  <c r="E1092" i="20" s="1"/>
  <c r="F1092" i="20" s="1"/>
  <c r="D1093" i="20" s="1"/>
  <c r="E1093" i="20" s="1"/>
  <c r="F1093" i="20" s="1"/>
  <c r="D1094" i="20" s="1"/>
  <c r="E1094" i="20" s="1"/>
  <c r="F1094" i="20" s="1"/>
  <c r="D1095" i="20" s="1"/>
  <c r="E1095" i="20" s="1"/>
  <c r="F1095" i="20" s="1"/>
  <c r="D1096" i="20" s="1"/>
  <c r="E1096" i="20" s="1"/>
  <c r="F1096" i="20" s="1"/>
  <c r="D1097" i="20" s="1"/>
  <c r="E1097" i="20" s="1"/>
  <c r="F1097" i="20" s="1"/>
  <c r="D1098" i="20" s="1"/>
  <c r="E1098" i="20" s="1"/>
  <c r="F1098" i="20" s="1"/>
  <c r="D1099" i="20" s="1"/>
  <c r="E1099" i="20" s="1"/>
  <c r="F1099" i="20" s="1"/>
  <c r="D1100" i="20" s="1"/>
  <c r="E1100" i="20" s="1"/>
  <c r="F1100" i="20" s="1"/>
  <c r="D1101" i="20" s="1"/>
  <c r="E1101" i="20" s="1"/>
  <c r="F1101" i="20" s="1"/>
  <c r="D1102" i="20" s="1"/>
  <c r="E1102" i="20" s="1"/>
  <c r="F1102" i="20" s="1"/>
  <c r="D1103" i="20" s="1"/>
  <c r="E1103" i="20" s="1"/>
  <c r="F1103" i="20" s="1"/>
  <c r="D1104" i="20" s="1"/>
  <c r="E1104" i="20" s="1"/>
  <c r="F1104" i="20" s="1"/>
  <c r="D1105" i="20" s="1"/>
  <c r="E1105" i="20" s="1"/>
  <c r="F1105" i="20" s="1"/>
  <c r="D1106" i="20" s="1"/>
  <c r="E1106" i="20" s="1"/>
  <c r="F1106" i="20" s="1"/>
  <c r="D1107" i="20" s="1"/>
  <c r="E1107" i="20" s="1"/>
  <c r="F1107" i="20" s="1"/>
  <c r="D1108" i="20" s="1"/>
  <c r="E1108" i="20" s="1"/>
  <c r="F1108" i="20" s="1"/>
  <c r="D1109" i="20" s="1"/>
  <c r="E1109" i="20" s="1"/>
  <c r="F1109" i="20" s="1"/>
  <c r="D1110" i="20" s="1"/>
  <c r="E1110" i="20" s="1"/>
  <c r="F1110" i="20" s="1"/>
  <c r="D1111" i="20" s="1"/>
  <c r="E1111" i="20" s="1"/>
  <c r="F1111" i="20" s="1"/>
  <c r="D1112" i="20" s="1"/>
  <c r="E1112" i="20" s="1"/>
  <c r="F1112" i="20" s="1"/>
  <c r="D1113" i="20" s="1"/>
  <c r="E1113" i="20" s="1"/>
  <c r="F1113" i="20" s="1"/>
  <c r="D1114" i="20" s="1"/>
  <c r="E1114" i="20" s="1"/>
  <c r="F1114" i="20" s="1"/>
  <c r="D1115" i="20" s="1"/>
  <c r="E1115" i="20" s="1"/>
  <c r="F1115" i="20" s="1"/>
  <c r="D1116" i="20" s="1"/>
  <c r="E1116" i="20" s="1"/>
  <c r="F1116" i="20" s="1"/>
  <c r="D1117" i="20" s="1"/>
  <c r="D276" i="20"/>
  <c r="I277" i="20" s="1"/>
  <c r="E280" i="20" s="1"/>
  <c r="F280" i="20" s="1"/>
  <c r="D281" i="20" s="1"/>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E298" i="20" s="1"/>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E308" i="20" s="1"/>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D1173" i="20"/>
  <c r="I1174" i="20" s="1"/>
  <c r="E1177" i="20" s="1"/>
  <c r="F1177" i="20" s="1"/>
  <c r="D1178" i="20" s="1"/>
  <c r="E1178" i="20" s="1"/>
  <c r="F1178" i="20" s="1"/>
  <c r="D1179" i="20" s="1"/>
  <c r="E1179" i="20" s="1"/>
  <c r="F1179" i="20" s="1"/>
  <c r="D1180" i="20" s="1"/>
  <c r="E1180" i="20" s="1"/>
  <c r="F1180" i="20" s="1"/>
  <c r="D1181" i="20" s="1"/>
  <c r="E1181" i="20" s="1"/>
  <c r="F1181" i="20" s="1"/>
  <c r="D1182" i="20" s="1"/>
  <c r="E1182" i="20" s="1"/>
  <c r="F1182" i="20" s="1"/>
  <c r="D1183" i="20" s="1"/>
  <c r="E1183" i="20" s="1"/>
  <c r="F1183" i="20" s="1"/>
  <c r="D1184" i="20" s="1"/>
  <c r="E1184" i="20" s="1"/>
  <c r="F1184" i="20" s="1"/>
  <c r="D1185" i="20" s="1"/>
  <c r="E1185" i="20" s="1"/>
  <c r="F1185" i="20" s="1"/>
  <c r="D1186" i="20" s="1"/>
  <c r="E1186" i="20" s="1"/>
  <c r="F1186" i="20" s="1"/>
  <c r="D1187" i="20" s="1"/>
  <c r="E1187" i="20" s="1"/>
  <c r="F1187" i="20" s="1"/>
  <c r="D1188" i="20" s="1"/>
  <c r="E1188" i="20" s="1"/>
  <c r="F1188" i="20" s="1"/>
  <c r="D1189" i="20" s="1"/>
  <c r="E1189" i="20" s="1"/>
  <c r="F1189" i="20" s="1"/>
  <c r="D1190" i="20" s="1"/>
  <c r="E1190" i="20" s="1"/>
  <c r="F1190" i="20" s="1"/>
  <c r="D1191" i="20" s="1"/>
  <c r="E1191" i="20" s="1"/>
  <c r="F1191" i="20" s="1"/>
  <c r="D1192" i="20" s="1"/>
  <c r="E1192" i="20" s="1"/>
  <c r="F1192" i="20" s="1"/>
  <c r="D1193" i="20" s="1"/>
  <c r="E1193" i="20" s="1"/>
  <c r="F1193" i="20" s="1"/>
  <c r="D1194" i="20" s="1"/>
  <c r="E1194" i="20" s="1"/>
  <c r="F1194" i="20" s="1"/>
  <c r="D1195" i="20" s="1"/>
  <c r="E1195" i="20" s="1"/>
  <c r="F1195" i="20" s="1"/>
  <c r="D1196" i="20" s="1"/>
  <c r="E1196" i="20" s="1"/>
  <c r="F1196" i="20" s="1"/>
  <c r="D1197" i="20" s="1"/>
  <c r="E1197" i="20" s="1"/>
  <c r="F1197" i="20" s="1"/>
  <c r="D1198" i="20" s="1"/>
  <c r="E1198" i="20" s="1"/>
  <c r="F1198" i="20" s="1"/>
  <c r="D1199" i="20" s="1"/>
  <c r="E1199" i="20" s="1"/>
  <c r="F1199" i="20" s="1"/>
  <c r="D1200" i="20" s="1"/>
  <c r="E1200" i="20" s="1"/>
  <c r="F1200" i="20" s="1"/>
  <c r="D1201" i="20" s="1"/>
  <c r="E1201" i="20" s="1"/>
  <c r="F1201" i="20" s="1"/>
  <c r="D1202" i="20" s="1"/>
  <c r="E1202" i="20" s="1"/>
  <c r="F1202" i="20" s="1"/>
  <c r="D1203" i="20" s="1"/>
  <c r="E1203" i="20" s="1"/>
  <c r="F1203" i="20" s="1"/>
  <c r="D1204" i="20" s="1"/>
  <c r="E1204" i="20" s="1"/>
  <c r="F1204" i="20" s="1"/>
  <c r="D1205" i="20" s="1"/>
  <c r="E1205" i="20" s="1"/>
  <c r="F1205" i="20" s="1"/>
  <c r="D1206" i="20" s="1"/>
  <c r="E1206" i="20" s="1"/>
  <c r="F1206" i="20" s="1"/>
  <c r="D1207" i="20" s="1"/>
  <c r="E1207" i="20" s="1"/>
  <c r="F1207" i="20" s="1"/>
  <c r="D1208" i="20" s="1"/>
  <c r="E1208" i="20" s="1"/>
  <c r="F1208" i="20" s="1"/>
  <c r="D1209" i="20" s="1"/>
  <c r="E1209" i="20" s="1"/>
  <c r="F1209" i="20" s="1"/>
  <c r="D1210" i="20" s="1"/>
  <c r="E1210" i="20" s="1"/>
  <c r="F1210" i="20" s="1"/>
  <c r="D1211" i="20" s="1"/>
  <c r="E1211" i="20" s="1"/>
  <c r="F1211" i="20" s="1"/>
  <c r="D1212" i="20" s="1"/>
  <c r="E1212" i="20" s="1"/>
  <c r="F1212" i="20" s="1"/>
  <c r="D1213" i="20" s="1"/>
  <c r="E1213" i="20" s="1"/>
  <c r="F1213" i="20" s="1"/>
  <c r="D1214" i="20" s="1"/>
  <c r="E1214" i="20" s="1"/>
  <c r="F1214" i="20" s="1"/>
  <c r="D1215" i="20" s="1"/>
  <c r="E1215" i="20" s="1"/>
  <c r="F1215" i="20" s="1"/>
  <c r="D1216" i="20" s="1"/>
  <c r="E1216" i="20" s="1"/>
  <c r="F1216" i="20" s="1"/>
  <c r="D1217" i="20" s="1"/>
  <c r="E1217" i="20" s="1"/>
  <c r="F1217" i="20" s="1"/>
  <c r="D1218" i="20" s="1"/>
  <c r="E1218" i="20" s="1"/>
  <c r="F1218" i="20" s="1"/>
  <c r="D1219" i="20" s="1"/>
  <c r="E1219" i="20" s="1"/>
  <c r="F1219" i="20" s="1"/>
  <c r="D1220" i="20" s="1"/>
  <c r="E1220" i="20" s="1"/>
  <c r="F1220" i="20" s="1"/>
  <c r="D1221" i="20" s="1"/>
  <c r="E1221" i="20" s="1"/>
  <c r="F1221" i="20" s="1"/>
  <c r="D1222" i="20" s="1"/>
  <c r="E1222" i="20" s="1"/>
  <c r="F1222" i="20" s="1"/>
  <c r="D1223" i="20" s="1"/>
  <c r="E1223" i="20" s="1"/>
  <c r="F1223" i="20" s="1"/>
  <c r="D1224" i="20" s="1"/>
  <c r="E1224" i="20" s="1"/>
  <c r="F1224" i="20" s="1"/>
  <c r="D1225" i="20" s="1"/>
  <c r="E1225" i="20" s="1"/>
  <c r="F1225" i="20" s="1"/>
  <c r="D1226" i="20" s="1"/>
  <c r="E1226" i="20" s="1"/>
  <c r="F1226" i="20" s="1"/>
  <c r="D1227" i="20" s="1"/>
  <c r="E1227" i="20" s="1"/>
  <c r="F1227" i="20" s="1"/>
  <c r="D1228" i="20" s="1"/>
  <c r="E1228" i="20" s="1"/>
  <c r="F1228" i="20" s="1"/>
  <c r="D1229" i="20" s="1"/>
  <c r="E1229" i="20" s="1"/>
  <c r="F1229" i="20" s="1"/>
  <c r="D1230" i="20" s="1"/>
  <c r="E1230" i="20" s="1"/>
  <c r="F1230" i="20" s="1"/>
  <c r="D1231" i="20" s="1"/>
  <c r="E1231" i="20" s="1"/>
  <c r="F1231" i="20" s="1"/>
  <c r="D1232" i="20" s="1"/>
  <c r="E1232" i="20" s="1"/>
  <c r="F1232" i="20" s="1"/>
  <c r="D1233" i="20" s="1"/>
  <c r="E1233" i="20" s="1"/>
  <c r="F1233" i="20" s="1"/>
  <c r="D1234" i="20" s="1"/>
  <c r="E1234" i="20" s="1"/>
  <c r="F1234" i="20" s="1"/>
  <c r="D1235" i="20" s="1"/>
  <c r="E1235" i="20" s="1"/>
  <c r="F1235" i="20" s="1"/>
  <c r="D1236" i="20" s="1"/>
  <c r="D1353" i="20"/>
  <c r="I1354" i="20" s="1"/>
  <c r="E1357" i="20" s="1"/>
  <c r="F1357" i="20" s="1"/>
  <c r="D1358" i="20" s="1"/>
  <c r="D993" i="20"/>
  <c r="I994" i="20" s="1"/>
  <c r="E997" i="20" s="1"/>
  <c r="F997" i="20" s="1"/>
  <c r="D998" i="20" s="1"/>
  <c r="D455" i="20"/>
  <c r="I456" i="20" s="1"/>
  <c r="E459" i="20" s="1"/>
  <c r="F459" i="20" s="1"/>
  <c r="D460" i="20" s="1"/>
  <c r="E460" i="20" s="1"/>
  <c r="F460" i="20" s="1"/>
  <c r="D461" i="20" s="1"/>
  <c r="E461" i="20" s="1"/>
  <c r="F461" i="20" s="1"/>
  <c r="D462" i="20" s="1"/>
  <c r="E462" i="20" s="1"/>
  <c r="F462" i="20" s="1"/>
  <c r="D463" i="20" s="1"/>
  <c r="E463" i="20" s="1"/>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E518" i="20" s="1"/>
  <c r="E519" i="20" s="1"/>
  <c r="D811" i="20"/>
  <c r="I812" i="20" s="1"/>
  <c r="E815" i="20" s="1"/>
  <c r="F815" i="20" s="1"/>
  <c r="D816" i="20" s="1"/>
  <c r="E816" i="20" s="1"/>
  <c r="F816" i="20" s="1"/>
  <c r="D817" i="20" s="1"/>
  <c r="E817" i="20" s="1"/>
  <c r="F817" i="20" s="1"/>
  <c r="D818" i="20" s="1"/>
  <c r="E818" i="20" s="1"/>
  <c r="F818" i="20" s="1"/>
  <c r="D819" i="20" s="1"/>
  <c r="E819" i="20" s="1"/>
  <c r="F819" i="20" s="1"/>
  <c r="D820" i="20" s="1"/>
  <c r="E820" i="20" s="1"/>
  <c r="F820" i="20" s="1"/>
  <c r="D821"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E846" i="20" s="1"/>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D187" i="20"/>
  <c r="I188" i="20" s="1"/>
  <c r="E191" i="20" s="1"/>
  <c r="F191" i="20" s="1"/>
  <c r="D192" i="20" s="1"/>
  <c r="E192" i="20" s="1"/>
  <c r="F192" i="20" s="1"/>
  <c r="D193" i="20" s="1"/>
  <c r="E193" i="20" s="1"/>
  <c r="F193" i="20" s="1"/>
  <c r="D194" i="20" s="1"/>
  <c r="E194" i="20" s="1"/>
  <c r="F194" i="20" s="1"/>
  <c r="D195" i="20" s="1"/>
  <c r="E195" i="20" s="1"/>
  <c r="F195" i="20" s="1"/>
  <c r="D196" i="20" s="1"/>
  <c r="E196" i="20" s="1"/>
  <c r="F196" i="20" s="1"/>
  <c r="D197" i="20" s="1"/>
  <c r="E197" i="20" s="1"/>
  <c r="F197" i="20" s="1"/>
  <c r="D198" i="20" s="1"/>
  <c r="E198" i="20" s="1"/>
  <c r="F198" i="20" s="1"/>
  <c r="D199" i="20" s="1"/>
  <c r="E199" i="20" s="1"/>
  <c r="F199" i="20" s="1"/>
  <c r="D200" i="20" s="1"/>
  <c r="D365" i="20"/>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D544" i="20"/>
  <c r="I545" i="20" s="1"/>
  <c r="E548" i="20" s="1"/>
  <c r="F548" i="20" s="1"/>
  <c r="D549" i="20" s="1"/>
  <c r="E549" i="20" s="1"/>
  <c r="F549" i="20" s="1"/>
  <c r="D550" i="20" s="1"/>
  <c r="E550" i="20" s="1"/>
  <c r="F550" i="20" s="1"/>
  <c r="D551" i="20" s="1"/>
  <c r="E551" i="20" s="1"/>
  <c r="F551" i="20" s="1"/>
  <c r="D552" i="20" s="1"/>
  <c r="E552" i="20" s="1"/>
  <c r="F552" i="20" s="1"/>
  <c r="D553" i="20" s="1"/>
  <c r="E553" i="20" s="1"/>
  <c r="F553" i="20" s="1"/>
  <c r="D554" i="20" s="1"/>
  <c r="E554" i="20" s="1"/>
  <c r="F554" i="20" s="1"/>
  <c r="D555" i="20" s="1"/>
  <c r="E555" i="20" s="1"/>
  <c r="F555" i="20" s="1"/>
  <c r="D556" i="20" s="1"/>
  <c r="E556" i="20" s="1"/>
  <c r="F556" i="20" s="1"/>
  <c r="D557" i="20" s="1"/>
  <c r="E557" i="20" s="1"/>
  <c r="F557" i="20" s="1"/>
  <c r="D558" i="20" s="1"/>
  <c r="E558" i="20" s="1"/>
  <c r="F558" i="20" s="1"/>
  <c r="D559" i="20" s="1"/>
  <c r="E559" i="20" s="1"/>
  <c r="F559" i="20" s="1"/>
  <c r="D560" i="20" s="1"/>
  <c r="E560" i="20" s="1"/>
  <c r="F560" i="20" s="1"/>
  <c r="D561" i="20" s="1"/>
  <c r="E561" i="20" s="1"/>
  <c r="F561" i="20" s="1"/>
  <c r="D562" i="20" s="1"/>
  <c r="E562" i="20" s="1"/>
  <c r="F562" i="20" s="1"/>
  <c r="D563" i="20" s="1"/>
  <c r="E563" i="20" s="1"/>
  <c r="F563" i="20" s="1"/>
  <c r="D564" i="20" s="1"/>
  <c r="E564" i="20" s="1"/>
  <c r="F564" i="20" s="1"/>
  <c r="D565" i="20" s="1"/>
  <c r="E565" i="20" s="1"/>
  <c r="F565" i="20" s="1"/>
  <c r="D566" i="20" s="1"/>
  <c r="E566" i="20" s="1"/>
  <c r="F566" i="20" s="1"/>
  <c r="D567" i="20" s="1"/>
  <c r="E567" i="20" s="1"/>
  <c r="F567" i="20" s="1"/>
  <c r="D568" i="20" s="1"/>
  <c r="E568" i="20" s="1"/>
  <c r="F568" i="20" s="1"/>
  <c r="D569" i="20" s="1"/>
  <c r="E569" i="20" s="1"/>
  <c r="F569" i="20" s="1"/>
  <c r="D570" i="20" s="1"/>
  <c r="E570" i="20" s="1"/>
  <c r="F570" i="20" s="1"/>
  <c r="D571" i="20" s="1"/>
  <c r="E571" i="20" s="1"/>
  <c r="F571" i="20" s="1"/>
  <c r="D572" i="20" s="1"/>
  <c r="E572" i="20" s="1"/>
  <c r="F572" i="20" s="1"/>
  <c r="D573" i="20" s="1"/>
  <c r="E573" i="20" s="1"/>
  <c r="F573" i="20" s="1"/>
  <c r="D574" i="20" s="1"/>
  <c r="E574" i="20" s="1"/>
  <c r="F574" i="20" s="1"/>
  <c r="D575" i="20" s="1"/>
  <c r="E575" i="20" s="1"/>
  <c r="F575" i="20" s="1"/>
  <c r="D576" i="20" s="1"/>
  <c r="E576" i="20" s="1"/>
  <c r="F576" i="20" s="1"/>
  <c r="D577" i="20" s="1"/>
  <c r="E577" i="20" s="1"/>
  <c r="F577" i="20" s="1"/>
  <c r="D578" i="20" s="1"/>
  <c r="E578" i="20" s="1"/>
  <c r="F578" i="20" s="1"/>
  <c r="D579" i="20" s="1"/>
  <c r="E579" i="20" s="1"/>
  <c r="F579" i="20" s="1"/>
  <c r="D580" i="20" s="1"/>
  <c r="E580" i="20" s="1"/>
  <c r="F580" i="20" s="1"/>
  <c r="D581" i="20" s="1"/>
  <c r="E581" i="20" s="1"/>
  <c r="F581" i="20" s="1"/>
  <c r="D582" i="20" s="1"/>
  <c r="E582" i="20" s="1"/>
  <c r="F582" i="20" s="1"/>
  <c r="D583" i="20" s="1"/>
  <c r="E583" i="20" s="1"/>
  <c r="F583" i="20" s="1"/>
  <c r="D584" i="20" s="1"/>
  <c r="E584" i="20" s="1"/>
  <c r="F584" i="20" s="1"/>
  <c r="D585" i="20" s="1"/>
  <c r="E585" i="20" s="1"/>
  <c r="F585" i="20" s="1"/>
  <c r="D586" i="20" s="1"/>
  <c r="E586" i="20" s="1"/>
  <c r="F586" i="20" s="1"/>
  <c r="D587" i="20" s="1"/>
  <c r="E587" i="20" s="1"/>
  <c r="F587" i="20" s="1"/>
  <c r="D588" i="20" s="1"/>
  <c r="E588" i="20" s="1"/>
  <c r="F588" i="20" s="1"/>
  <c r="D589" i="20" s="1"/>
  <c r="E589" i="20" s="1"/>
  <c r="F589" i="20" s="1"/>
  <c r="D590" i="20" s="1"/>
  <c r="E590" i="20" s="1"/>
  <c r="F590" i="20" s="1"/>
  <c r="D591" i="20" s="1"/>
  <c r="E591" i="20" s="1"/>
  <c r="F591" i="20" s="1"/>
  <c r="D592" i="20" s="1"/>
  <c r="E592" i="20" s="1"/>
  <c r="F592" i="20" s="1"/>
  <c r="D593" i="20" s="1"/>
  <c r="E593" i="20" s="1"/>
  <c r="F593" i="20" s="1"/>
  <c r="D594" i="20" s="1"/>
  <c r="E594" i="20" s="1"/>
  <c r="F594" i="20" s="1"/>
  <c r="D595" i="20" s="1"/>
  <c r="E595" i="20" s="1"/>
  <c r="F595" i="20" s="1"/>
  <c r="D596" i="20" s="1"/>
  <c r="E596" i="20" s="1"/>
  <c r="F596" i="20" s="1"/>
  <c r="D597" i="20" s="1"/>
  <c r="E597" i="20" s="1"/>
  <c r="F597" i="20" s="1"/>
  <c r="D598" i="20" s="1"/>
  <c r="E598" i="20" s="1"/>
  <c r="F598" i="20" s="1"/>
  <c r="D599" i="20" s="1"/>
  <c r="E599" i="20" s="1"/>
  <c r="F599" i="20" s="1"/>
  <c r="D600" i="20" s="1"/>
  <c r="E600" i="20" s="1"/>
  <c r="F600" i="20" s="1"/>
  <c r="D601" i="20" s="1"/>
  <c r="E601" i="20" s="1"/>
  <c r="F601" i="20" s="1"/>
  <c r="D602" i="20" s="1"/>
  <c r="F1267" i="20"/>
  <c r="D1268" i="20" s="1"/>
  <c r="E1268" i="20" s="1"/>
  <c r="F1268" i="20" s="1"/>
  <c r="D1269" i="20" s="1"/>
  <c r="E1269" i="20" s="1"/>
  <c r="F1269" i="20" s="1"/>
  <c r="D1270" i="20" s="1"/>
  <c r="E1270" i="20" s="1"/>
  <c r="F1270" i="20" s="1"/>
  <c r="D1271" i="20" s="1"/>
  <c r="E1271" i="20" s="1"/>
  <c r="F1271" i="20" s="1"/>
  <c r="D1272" i="20" s="1"/>
  <c r="E1272" i="20" s="1"/>
  <c r="F1272" i="20" s="1"/>
  <c r="D1273" i="20" s="1"/>
  <c r="E1273" i="20" s="1"/>
  <c r="F1273" i="20" s="1"/>
  <c r="D1274" i="20" s="1"/>
  <c r="E1274" i="20" s="1"/>
  <c r="F1274" i="20" s="1"/>
  <c r="D1275" i="20" s="1"/>
  <c r="E1275" i="20" s="1"/>
  <c r="F1275" i="20" s="1"/>
  <c r="D1276" i="20" s="1"/>
  <c r="E1276" i="20" s="1"/>
  <c r="F1276" i="20" s="1"/>
  <c r="D1277" i="20" s="1"/>
  <c r="E1277" i="20" s="1"/>
  <c r="F1277" i="20" s="1"/>
  <c r="D1278" i="20" s="1"/>
  <c r="E1278" i="20" s="1"/>
  <c r="F1278" i="20" s="1"/>
  <c r="D1279" i="20" s="1"/>
  <c r="E1279" i="20" s="1"/>
  <c r="F1279" i="20" s="1"/>
  <c r="D1280" i="20" s="1"/>
  <c r="E1280" i="20" s="1"/>
  <c r="F1280" i="20" s="1"/>
  <c r="D1281" i="20" s="1"/>
  <c r="E1281" i="20" s="1"/>
  <c r="F1281" i="20" s="1"/>
  <c r="D1282" i="20" s="1"/>
  <c r="E1282" i="20" s="1"/>
  <c r="F1282" i="20" s="1"/>
  <c r="D1283" i="20" s="1"/>
  <c r="E1283" i="20" s="1"/>
  <c r="F1283" i="20" s="1"/>
  <c r="D1284" i="20" s="1"/>
  <c r="E1284" i="20" s="1"/>
  <c r="F1284" i="20" s="1"/>
  <c r="D1285" i="20" s="1"/>
  <c r="E1285" i="20" s="1"/>
  <c r="F1285" i="20" s="1"/>
  <c r="D1286" i="20" s="1"/>
  <c r="E1286" i="20" s="1"/>
  <c r="F1286" i="20" s="1"/>
  <c r="D1287" i="20" s="1"/>
  <c r="E1287" i="20" s="1"/>
  <c r="F1287" i="20" s="1"/>
  <c r="D1288" i="20" s="1"/>
  <c r="E1288" i="20" s="1"/>
  <c r="F1288" i="20" s="1"/>
  <c r="D1289" i="20" s="1"/>
  <c r="E1289" i="20" s="1"/>
  <c r="F1289" i="20" s="1"/>
  <c r="D1290" i="20" s="1"/>
  <c r="E1290" i="20" s="1"/>
  <c r="F1290" i="20" s="1"/>
  <c r="D1291" i="20" s="1"/>
  <c r="E1291" i="20" s="1"/>
  <c r="F1291" i="20" s="1"/>
  <c r="D1292" i="20" s="1"/>
  <c r="E1292" i="20" s="1"/>
  <c r="F1292" i="20" s="1"/>
  <c r="D1293" i="20" s="1"/>
  <c r="E1293" i="20" s="1"/>
  <c r="F1293" i="20" s="1"/>
  <c r="D1294" i="20" s="1"/>
  <c r="E1294" i="20" s="1"/>
  <c r="F1294" i="20" s="1"/>
  <c r="D1295" i="20" s="1"/>
  <c r="E1295" i="20" s="1"/>
  <c r="F1295" i="20" s="1"/>
  <c r="D1296" i="20" s="1"/>
  <c r="E1296" i="20" s="1"/>
  <c r="F1296" i="20" s="1"/>
  <c r="D1297" i="20" s="1"/>
  <c r="E1297" i="20" s="1"/>
  <c r="F1297" i="20" s="1"/>
  <c r="D1298" i="20" s="1"/>
  <c r="E1298" i="20" s="1"/>
  <c r="F1298" i="20" s="1"/>
  <c r="D1299" i="20" s="1"/>
  <c r="E1299" i="20" s="1"/>
  <c r="F1299" i="20" s="1"/>
  <c r="D1300" i="20" s="1"/>
  <c r="E1300" i="20" s="1"/>
  <c r="F1300" i="20" s="1"/>
  <c r="D1301" i="20" s="1"/>
  <c r="E1301" i="20" s="1"/>
  <c r="F1301" i="20" s="1"/>
  <c r="D1302" i="20" s="1"/>
  <c r="E1302" i="20" s="1"/>
  <c r="F1302" i="20" s="1"/>
  <c r="D1303" i="20" s="1"/>
  <c r="E1303" i="20" s="1"/>
  <c r="F1303" i="20" s="1"/>
  <c r="D1304" i="20" s="1"/>
  <c r="E1304" i="20" s="1"/>
  <c r="F1304" i="20" s="1"/>
  <c r="D1305" i="20" s="1"/>
  <c r="E1305" i="20" s="1"/>
  <c r="F1305" i="20" s="1"/>
  <c r="D1306" i="20" s="1"/>
  <c r="E1306" i="20" s="1"/>
  <c r="F1306" i="20" s="1"/>
  <c r="D1307" i="20" s="1"/>
  <c r="E1307" i="20" s="1"/>
  <c r="F1307" i="20" s="1"/>
  <c r="D1308" i="20" s="1"/>
  <c r="E1308" i="20" s="1"/>
  <c r="F1308" i="20" s="1"/>
  <c r="D1309" i="20" s="1"/>
  <c r="E1309" i="20" s="1"/>
  <c r="F1309" i="20" s="1"/>
  <c r="D1310" i="20" s="1"/>
  <c r="E1310" i="20" s="1"/>
  <c r="F1310" i="20" s="1"/>
  <c r="D1311" i="20" s="1"/>
  <c r="E1311" i="20" s="1"/>
  <c r="F1311" i="20" s="1"/>
  <c r="D1312" i="20" s="1"/>
  <c r="E1312" i="20" s="1"/>
  <c r="F1312" i="20" s="1"/>
  <c r="D1313" i="20" s="1"/>
  <c r="E1313" i="20" s="1"/>
  <c r="F1313" i="20" s="1"/>
  <c r="D1314" i="20" s="1"/>
  <c r="E1314" i="20" s="1"/>
  <c r="F1314" i="20" s="1"/>
  <c r="D1315" i="20" s="1"/>
  <c r="E1315" i="20" s="1"/>
  <c r="F1315" i="20" s="1"/>
  <c r="D1316" i="20" s="1"/>
  <c r="E1316" i="20" s="1"/>
  <c r="F1316" i="20" s="1"/>
  <c r="D1317" i="20" s="1"/>
  <c r="E1317" i="20" s="1"/>
  <c r="F1317" i="20" s="1"/>
  <c r="D1318" i="20" s="1"/>
  <c r="E1318" i="20" s="1"/>
  <c r="F1318" i="20" s="1"/>
  <c r="D1319" i="20" s="1"/>
  <c r="E1319" i="20" s="1"/>
  <c r="F1319" i="20" s="1"/>
  <c r="D1320" i="20" s="1"/>
  <c r="E1320" i="20" s="1"/>
  <c r="F1320" i="20" s="1"/>
  <c r="D1321" i="20" s="1"/>
  <c r="J148" i="2" l="1"/>
  <c r="L148" i="2" s="1"/>
  <c r="J109" i="2"/>
  <c r="L109" i="2" s="1"/>
  <c r="J173" i="2"/>
  <c r="L173" i="2" s="1"/>
  <c r="L174" i="2" s="1"/>
  <c r="I366" i="20"/>
  <c r="E369" i="20" s="1"/>
  <c r="F369" i="20" s="1"/>
  <c r="D370" i="20" s="1"/>
  <c r="E370" i="20" s="1"/>
  <c r="F370" i="20" s="1"/>
  <c r="D371" i="20" s="1"/>
  <c r="F518" i="20"/>
  <c r="E1236" i="20"/>
  <c r="E1237" i="20" s="1"/>
  <c r="E200" i="20"/>
  <c r="F200" i="20" s="1"/>
  <c r="D201" i="20" s="1"/>
  <c r="E201" i="20" s="1"/>
  <c r="F201" i="20" s="1"/>
  <c r="D202" i="20" s="1"/>
  <c r="E202" i="20" s="1"/>
  <c r="F202" i="20" s="1"/>
  <c r="D203" i="20" s="1"/>
  <c r="E203" i="20" s="1"/>
  <c r="F203" i="20" s="1"/>
  <c r="D204" i="20" s="1"/>
  <c r="E204" i="20" s="1"/>
  <c r="F204" i="20" s="1"/>
  <c r="D205" i="20" s="1"/>
  <c r="E205" i="20" s="1"/>
  <c r="F205" i="20" s="1"/>
  <c r="D206" i="20" s="1"/>
  <c r="E1117" i="20"/>
  <c r="F1117" i="20" s="1"/>
  <c r="D1118" i="20" s="1"/>
  <c r="E936" i="20"/>
  <c r="F936" i="20" s="1"/>
  <c r="D937" i="20" s="1"/>
  <c r="E998" i="20"/>
  <c r="F998" i="20" s="1"/>
  <c r="D999" i="20" s="1"/>
  <c r="C399" i="20"/>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E602" i="20"/>
  <c r="F602" i="20" s="1"/>
  <c r="D603" i="20" s="1"/>
  <c r="E339" i="20"/>
  <c r="E340" i="20" s="1"/>
  <c r="E662" i="20"/>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E1321" i="20"/>
  <c r="F1321" i="20" s="1"/>
  <c r="D1322" i="20" s="1"/>
  <c r="E125" i="20"/>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58" i="20"/>
  <c r="F1358" i="20" s="1"/>
  <c r="D1359" i="20" s="1"/>
  <c r="E872" i="20"/>
  <c r="F872" i="20" s="1"/>
  <c r="D873" i="20" s="1"/>
  <c r="E873" i="20" s="1"/>
  <c r="F873" i="20" s="1"/>
  <c r="D874" i="20" s="1"/>
  <c r="E785" i="20"/>
  <c r="E786" i="20" s="1"/>
  <c r="F1236" i="20" l="1"/>
  <c r="F339" i="20"/>
  <c r="E874" i="20"/>
  <c r="E875" i="20" s="1"/>
  <c r="E136" i="20"/>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D160" i="20" s="1"/>
  <c r="E1118" i="20"/>
  <c r="F1118" i="20" s="1"/>
  <c r="D1119" i="20" s="1"/>
  <c r="E206" i="20"/>
  <c r="F206" i="20" s="1"/>
  <c r="D207" i="20" s="1"/>
  <c r="E371" i="20"/>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E392" i="20" s="1"/>
  <c r="F392" i="20" s="1"/>
  <c r="D393" i="20" s="1"/>
  <c r="E393" i="20" s="1"/>
  <c r="F393" i="20" s="1"/>
  <c r="D394" i="20" s="1"/>
  <c r="E394" i="20" s="1"/>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405" i="20" s="1"/>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999" i="20"/>
  <c r="F999" i="20" s="1"/>
  <c r="D1000" i="20" s="1"/>
  <c r="E1000" i="20" s="1"/>
  <c r="F1000" i="20" s="1"/>
  <c r="D1001" i="20" s="1"/>
  <c r="E1001" i="20" s="1"/>
  <c r="F1001" i="20" s="1"/>
  <c r="D1002" i="20" s="1"/>
  <c r="E1002" i="20" s="1"/>
  <c r="F1002" i="20" s="1"/>
  <c r="D1003" i="20" s="1"/>
  <c r="E1003" i="20" s="1"/>
  <c r="F1003" i="20" s="1"/>
  <c r="D1004" i="20" s="1"/>
  <c r="E1004" i="20" s="1"/>
  <c r="F1004" i="20" s="1"/>
  <c r="D1005" i="20" s="1"/>
  <c r="E1005" i="20" s="1"/>
  <c r="F1005" i="20" s="1"/>
  <c r="D1006" i="20" s="1"/>
  <c r="E1006" i="20" s="1"/>
  <c r="F1006" i="20" s="1"/>
  <c r="D1007" i="20" s="1"/>
  <c r="E1007" i="20" s="1"/>
  <c r="F1007" i="20" s="1"/>
  <c r="D1008" i="20" s="1"/>
  <c r="E1008" i="20" s="1"/>
  <c r="F1008" i="20" s="1"/>
  <c r="D1009" i="20" s="1"/>
  <c r="E1009" i="20" s="1"/>
  <c r="F1009" i="20" s="1"/>
  <c r="D1010" i="20" s="1"/>
  <c r="E1010" i="20" s="1"/>
  <c r="F1010" i="20" s="1"/>
  <c r="D1011" i="20" s="1"/>
  <c r="E1011" i="20" s="1"/>
  <c r="F1011" i="20" s="1"/>
  <c r="D1012" i="20" s="1"/>
  <c r="E1012" i="20" s="1"/>
  <c r="F1012" i="20" s="1"/>
  <c r="D1013" i="20" s="1"/>
  <c r="E1013" i="20" s="1"/>
  <c r="F1013" i="20" s="1"/>
  <c r="D1014" i="20" s="1"/>
  <c r="E1014" i="20" s="1"/>
  <c r="F1014" i="20" s="1"/>
  <c r="D1015" i="20" s="1"/>
  <c r="E1322" i="20"/>
  <c r="F1322" i="20" s="1"/>
  <c r="D1323" i="20" s="1"/>
  <c r="F785" i="20"/>
  <c r="E937" i="20"/>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1359" i="20"/>
  <c r="F1359" i="20" s="1"/>
  <c r="D1360" i="20" s="1"/>
  <c r="E696" i="20"/>
  <c r="E697" i="20" s="1"/>
  <c r="E603" i="20"/>
  <c r="F603" i="20" s="1"/>
  <c r="D604" i="20" s="1"/>
  <c r="E604" i="20" s="1"/>
  <c r="F604" i="20" s="1"/>
  <c r="D605" i="20" s="1"/>
  <c r="E605" i="20" s="1"/>
  <c r="F605" i="20" s="1"/>
  <c r="D606" i="20" s="1"/>
  <c r="E606" i="20" s="1"/>
  <c r="F606" i="20" s="1"/>
  <c r="D607" i="20" s="1"/>
  <c r="F696" i="20" l="1"/>
  <c r="F874" i="20"/>
  <c r="E607" i="20"/>
  <c r="E608" i="20" s="1"/>
  <c r="E207" i="20"/>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250" i="20" s="1"/>
  <c r="E951" i="20"/>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E963" i="20" s="1"/>
  <c r="F963" i="20" s="1"/>
  <c r="D964" i="20" s="1"/>
  <c r="E964" i="20" s="1"/>
  <c r="F964" i="20" s="1"/>
  <c r="D965" i="20" s="1"/>
  <c r="E160" i="20"/>
  <c r="E161" i="20" s="1"/>
  <c r="E1119" i="20"/>
  <c r="F1119" i="20" s="1"/>
  <c r="D1120" i="20" s="1"/>
  <c r="E1323" i="20"/>
  <c r="F1323" i="20" s="1"/>
  <c r="D1324" i="20" s="1"/>
  <c r="E1324" i="20" s="1"/>
  <c r="F1324" i="20" s="1"/>
  <c r="D1325" i="20" s="1"/>
  <c r="E1360" i="20"/>
  <c r="F1360" i="20" s="1"/>
  <c r="D1361" i="20" s="1"/>
  <c r="E1015" i="20"/>
  <c r="F1015" i="20" s="1"/>
  <c r="D1016" i="20" s="1"/>
  <c r="E427" i="20"/>
  <c r="F427" i="20" s="1"/>
  <c r="D428" i="20" s="1"/>
  <c r="F607" i="20" l="1"/>
  <c r="F160" i="20"/>
  <c r="E1016" i="20"/>
  <c r="F1016" i="20" s="1"/>
  <c r="D1017" i="20" s="1"/>
  <c r="E428" i="20"/>
  <c r="E429" i="20" s="1"/>
  <c r="E965" i="20"/>
  <c r="E966" i="20" s="1"/>
  <c r="E1325" i="20"/>
  <c r="F1325" i="20" s="1"/>
  <c r="D1326" i="20" s="1"/>
  <c r="E1361" i="20"/>
  <c r="F1361" i="20" s="1"/>
  <c r="D1362" i="20" s="1"/>
  <c r="E250" i="20"/>
  <c r="E251" i="20" s="1"/>
  <c r="E1120" i="20"/>
  <c r="F1120" i="20" s="1"/>
  <c r="D1121" i="20" s="1"/>
  <c r="F428" i="20" l="1"/>
  <c r="E1121" i="20"/>
  <c r="F1121" i="20" s="1"/>
  <c r="D1122" i="20" s="1"/>
  <c r="F250" i="20"/>
  <c r="E1362" i="20"/>
  <c r="F1362" i="20" s="1"/>
  <c r="D1363" i="20" s="1"/>
  <c r="E1326" i="20"/>
  <c r="E1327" i="20" s="1"/>
  <c r="E1017" i="20"/>
  <c r="F1017" i="20" s="1"/>
  <c r="D1018" i="20" s="1"/>
  <c r="F965" i="20"/>
  <c r="F1326" i="20" l="1"/>
  <c r="E1018" i="20"/>
  <c r="F1018" i="20" s="1"/>
  <c r="D1019" i="20" s="1"/>
  <c r="E1363" i="20"/>
  <c r="F1363" i="20" s="1"/>
  <c r="D1364" i="20" s="1"/>
  <c r="E1122" i="20"/>
  <c r="F1122" i="20" s="1"/>
  <c r="D1123" i="20" s="1"/>
  <c r="E1123" i="20" l="1"/>
  <c r="F1123" i="20" s="1"/>
  <c r="D1124" i="20" s="1"/>
  <c r="E1364" i="20"/>
  <c r="F1364" i="20" s="1"/>
  <c r="E1019" i="20"/>
  <c r="F1019" i="20" s="1"/>
  <c r="D1020" i="20" s="1"/>
  <c r="D1365" i="20" l="1"/>
  <c r="E1124" i="20"/>
  <c r="F1124" i="20" s="1"/>
  <c r="D1125" i="20" s="1"/>
  <c r="E1020" i="20"/>
  <c r="F1020" i="20" s="1"/>
  <c r="E1125" i="20" l="1"/>
  <c r="F1125" i="20" s="1"/>
  <c r="D1021" i="20"/>
  <c r="E1365" i="20"/>
  <c r="F1365" i="20" s="1"/>
  <c r="D1126" i="20" l="1"/>
  <c r="E1126" i="20" s="1"/>
  <c r="F1126" i="20" s="1"/>
  <c r="D1127" i="20" s="1"/>
  <c r="E1021" i="20"/>
  <c r="F1021" i="20" s="1"/>
  <c r="D1366" i="20"/>
  <c r="D1022" i="20" l="1"/>
  <c r="E1022" i="20" s="1"/>
  <c r="F1022" i="20" s="1"/>
  <c r="D1023" i="20" s="1"/>
  <c r="E1127" i="20"/>
  <c r="F1127" i="20" s="1"/>
  <c r="D1128" i="20" s="1"/>
  <c r="E1366" i="20"/>
  <c r="F1366" i="20" s="1"/>
  <c r="D1367" i="20" l="1"/>
  <c r="E1023" i="20"/>
  <c r="F1023" i="20" s="1"/>
  <c r="D1024" i="20" s="1"/>
  <c r="E1128" i="20"/>
  <c r="F1128" i="20" s="1"/>
  <c r="D1129" i="20" l="1"/>
  <c r="E1024" i="20"/>
  <c r="F1024" i="20" s="1"/>
  <c r="D1025" i="20" s="1"/>
  <c r="E1367" i="20"/>
  <c r="F1367" i="20" s="1"/>
  <c r="D1368" i="20" l="1"/>
  <c r="E1368" i="20" s="1"/>
  <c r="F1368" i="20" s="1"/>
  <c r="D1369" i="20" s="1"/>
  <c r="E1025" i="20"/>
  <c r="F1025" i="20" s="1"/>
  <c r="E1129" i="20"/>
  <c r="F1129" i="20" s="1"/>
  <c r="D1130" i="20" s="1"/>
  <c r="D1026" i="20" l="1"/>
  <c r="E1026" i="20" s="1"/>
  <c r="F1026" i="20" s="1"/>
  <c r="E1369" i="20"/>
  <c r="F1369" i="20" s="1"/>
  <c r="D1370" i="20" s="1"/>
  <c r="E1130" i="20"/>
  <c r="F1130" i="20" s="1"/>
  <c r="D1131" i="20" s="1"/>
  <c r="D1027" i="20" l="1"/>
  <c r="E1131" i="20"/>
  <c r="F1131" i="20" s="1"/>
  <c r="D1132" i="20" s="1"/>
  <c r="E1370" i="20"/>
  <c r="F1370" i="20" s="1"/>
  <c r="D1371" i="20" s="1"/>
  <c r="E1371" i="20" l="1"/>
  <c r="F1371" i="20" s="1"/>
  <c r="D1372" i="20" s="1"/>
  <c r="E1132" i="20"/>
  <c r="F1132" i="20" s="1"/>
  <c r="D1133" i="20" s="1"/>
  <c r="E1027" i="20"/>
  <c r="F1027" i="20" s="1"/>
  <c r="D1028" i="20" l="1"/>
  <c r="E1133" i="20"/>
  <c r="F1133" i="20" s="1"/>
  <c r="E1372" i="20"/>
  <c r="F1372" i="20" s="1"/>
  <c r="D1373" i="20" l="1"/>
  <c r="D1134" i="20"/>
  <c r="E1028" i="20"/>
  <c r="F1028" i="20" s="1"/>
  <c r="D1029" i="20" s="1"/>
  <c r="E1029" i="20" l="1"/>
  <c r="F1029" i="20" s="1"/>
  <c r="E1134" i="20"/>
  <c r="F1134" i="20" s="1"/>
  <c r="E1373" i="20"/>
  <c r="F1373" i="20" s="1"/>
  <c r="D1374" i="20" s="1"/>
  <c r="D1135" i="20" l="1"/>
  <c r="D1030" i="20"/>
  <c r="E1374" i="20"/>
  <c r="F1374" i="20" s="1"/>
  <c r="D1375" i="20" l="1"/>
  <c r="E1030" i="20"/>
  <c r="F1030" i="20" s="1"/>
  <c r="D1031" i="20" s="1"/>
  <c r="E1135" i="20"/>
  <c r="F1135" i="20" s="1"/>
  <c r="D1136" i="20" l="1"/>
  <c r="E1031" i="20"/>
  <c r="F1031" i="20" s="1"/>
  <c r="E1375" i="20"/>
  <c r="F1375" i="20" s="1"/>
  <c r="D1376" i="20" l="1"/>
  <c r="D1032" i="20"/>
  <c r="E1136" i="20"/>
  <c r="F1136" i="20" s="1"/>
  <c r="D1137" i="20" s="1"/>
  <c r="E1137" i="20" l="1"/>
  <c r="F1137" i="20" s="1"/>
  <c r="E1032" i="20"/>
  <c r="F1032" i="20" s="1"/>
  <c r="D1033" i="20" s="1"/>
  <c r="E1376" i="20"/>
  <c r="F1376" i="20" s="1"/>
  <c r="D1377" i="20" l="1"/>
  <c r="D1138" i="20"/>
  <c r="E1033" i="20"/>
  <c r="F1033" i="20" s="1"/>
  <c r="D1034" i="20" s="1"/>
  <c r="E1034" i="20" l="1"/>
  <c r="F1034" i="20" s="1"/>
  <c r="D1035" i="20" s="1"/>
  <c r="E1138" i="20"/>
  <c r="F1138" i="20" s="1"/>
  <c r="D1139" i="20" s="1"/>
  <c r="E1377" i="20"/>
  <c r="F1377" i="20" s="1"/>
  <c r="D1378" i="20" l="1"/>
  <c r="E1035" i="20"/>
  <c r="F1035" i="20" s="1"/>
  <c r="E1139" i="20"/>
  <c r="F1139" i="20" s="1"/>
  <c r="D1140" i="20" s="1"/>
  <c r="D1036" i="20" l="1"/>
  <c r="E1140" i="20"/>
  <c r="F1140" i="20" s="1"/>
  <c r="E1378" i="20"/>
  <c r="F1378" i="20" s="1"/>
  <c r="D1379" i="20" s="1"/>
  <c r="D1141" i="20" l="1"/>
  <c r="E1379" i="20"/>
  <c r="F1379" i="20" s="1"/>
  <c r="E1036" i="20"/>
  <c r="F1036" i="20" s="1"/>
  <c r="D1037" i="20" l="1"/>
  <c r="D1380" i="20"/>
  <c r="E1141" i="20"/>
  <c r="F1141" i="20" s="1"/>
  <c r="D1142" i="20" l="1"/>
  <c r="E1380" i="20"/>
  <c r="F1380" i="20" s="1"/>
  <c r="E1037" i="20"/>
  <c r="F1037" i="20" s="1"/>
  <c r="D1038" i="20" s="1"/>
  <c r="D1381" i="20" l="1"/>
  <c r="E1038" i="20"/>
  <c r="F1038" i="20" s="1"/>
  <c r="D1039" i="20" s="1"/>
  <c r="E1142" i="20"/>
  <c r="F1142" i="20" s="1"/>
  <c r="D1143" i="20" l="1"/>
  <c r="E1039" i="20"/>
  <c r="F1039" i="20" s="1"/>
  <c r="D1040" i="20" s="1"/>
  <c r="E1381" i="20"/>
  <c r="F1381" i="20" s="1"/>
  <c r="D1382" i="20" s="1"/>
  <c r="E1382" i="20" l="1"/>
  <c r="F1382" i="20" s="1"/>
  <c r="D1383" i="20" s="1"/>
  <c r="E1040" i="20"/>
  <c r="F1040" i="20" s="1"/>
  <c r="D1041" i="20" s="1"/>
  <c r="E1143" i="20"/>
  <c r="F1143" i="20" s="1"/>
  <c r="D1144" i="20" l="1"/>
  <c r="E1041" i="20"/>
  <c r="F1041" i="20" s="1"/>
  <c r="E1383" i="20"/>
  <c r="F1383" i="20" s="1"/>
  <c r="D1384" i="20" s="1"/>
  <c r="D1042" i="20" l="1"/>
  <c r="E1384" i="20"/>
  <c r="F1384" i="20" s="1"/>
  <c r="D1385" i="20" s="1"/>
  <c r="E1144" i="20"/>
  <c r="F1144" i="20" s="1"/>
  <c r="D1145" i="20" s="1"/>
  <c r="E1145" i="20" l="1"/>
  <c r="F1145" i="20" s="1"/>
  <c r="D1146" i="20" s="1"/>
  <c r="E1385" i="20"/>
  <c r="F1385" i="20" s="1"/>
  <c r="D1386" i="20" s="1"/>
  <c r="E1042" i="20"/>
  <c r="F1042" i="20" s="1"/>
  <c r="D1043" i="20" s="1"/>
  <c r="E1386" i="20" l="1"/>
  <c r="F1386" i="20" s="1"/>
  <c r="E1043" i="20"/>
  <c r="F1043" i="20" s="1"/>
  <c r="E1146" i="20"/>
  <c r="E1147" i="20" s="1"/>
  <c r="D1387" i="20" l="1"/>
  <c r="D1044" i="20"/>
  <c r="F1146" i="20"/>
  <c r="E1044" i="20" l="1"/>
  <c r="F1044" i="20" s="1"/>
  <c r="E1387" i="20"/>
  <c r="F1387" i="20" s="1"/>
  <c r="D1388" i="20" l="1"/>
  <c r="D1045" i="20"/>
  <c r="E1045" i="20" l="1"/>
  <c r="F1045" i="20" s="1"/>
  <c r="D1046" i="20" s="1"/>
  <c r="E1388" i="20"/>
  <c r="F1388" i="20" s="1"/>
  <c r="D1389" i="20" l="1"/>
  <c r="E1046" i="20"/>
  <c r="F1046" i="20" s="1"/>
  <c r="D1047" i="20" l="1"/>
  <c r="E1389" i="20"/>
  <c r="F1389" i="20" s="1"/>
  <c r="D1390" i="20" l="1"/>
  <c r="E1390" i="20" s="1"/>
  <c r="F1390" i="20" s="1"/>
  <c r="D1391" i="20" s="1"/>
  <c r="E1047" i="20"/>
  <c r="F1047" i="20" s="1"/>
  <c r="D1048" i="20" s="1"/>
  <c r="F62" i="38" l="1"/>
  <c r="C64" i="38" s="1"/>
  <c r="L73" i="2" s="1"/>
  <c r="J73" i="2" s="1"/>
  <c r="E1391" i="20"/>
  <c r="F1391" i="20" s="1"/>
  <c r="E1048" i="20"/>
  <c r="F1048" i="20" s="1"/>
  <c r="D1049" i="20" s="1"/>
  <c r="L83" i="2" l="1"/>
  <c r="G64" i="20" s="1"/>
  <c r="L80" i="2"/>
  <c r="D1392" i="20"/>
  <c r="E1392" i="20" s="1"/>
  <c r="F1392" i="20" s="1"/>
  <c r="D1393" i="20" s="1"/>
  <c r="E1049" i="20"/>
  <c r="F1049" i="20" s="1"/>
  <c r="D1050" i="20" s="1"/>
  <c r="L87" i="2" l="1"/>
  <c r="F64" i="13"/>
  <c r="E1393" i="20"/>
  <c r="F1393" i="20" s="1"/>
  <c r="E1050" i="20"/>
  <c r="F1050" i="20" s="1"/>
  <c r="J87" i="2" l="1"/>
  <c r="J183" i="2" s="1"/>
  <c r="L183" i="2" s="1"/>
  <c r="L187" i="2" s="1"/>
  <c r="D1051" i="20"/>
  <c r="D1394" i="20"/>
  <c r="J184" i="2" l="1"/>
  <c r="L184" i="2" s="1"/>
  <c r="L188" i="2" s="1"/>
  <c r="F39" i="20" s="1"/>
  <c r="J186" i="2"/>
  <c r="L186" i="2" s="1"/>
  <c r="E37" i="13" s="1"/>
  <c r="E38" i="13"/>
  <c r="F38" i="20"/>
  <c r="E1394" i="20"/>
  <c r="F1394" i="20" s="1"/>
  <c r="D1395" i="20" s="1"/>
  <c r="E1051" i="20"/>
  <c r="F1051" i="20" s="1"/>
  <c r="E39" i="13" l="1"/>
  <c r="F37" i="20"/>
  <c r="D1052" i="20"/>
  <c r="E1395" i="20"/>
  <c r="F1395" i="20" s="1"/>
  <c r="D1396" i="20" l="1"/>
  <c r="E1396" i="20" s="1"/>
  <c r="F1396" i="20" s="1"/>
  <c r="E1052" i="20"/>
  <c r="F1052" i="20" s="1"/>
  <c r="D1397" i="20" l="1"/>
  <c r="D1053" i="20"/>
  <c r="E1053" i="20" l="1"/>
  <c r="F1053" i="20" s="1"/>
  <c r="E1397" i="20"/>
  <c r="F1397" i="20" s="1"/>
  <c r="D1398" i="20" l="1"/>
  <c r="E1398" i="20" s="1"/>
  <c r="F1398" i="20" s="1"/>
  <c r="D1054" i="20"/>
  <c r="D1399" i="20" l="1"/>
  <c r="E1399" i="20" s="1"/>
  <c r="F1399" i="20" s="1"/>
  <c r="E1054" i="20"/>
  <c r="F1054" i="20" s="1"/>
  <c r="D1055" i="20" l="1"/>
  <c r="D1400" i="20"/>
  <c r="E1400" i="20" s="1"/>
  <c r="F1400" i="20" l="1"/>
  <c r="D1401" i="20" s="1"/>
  <c r="E1401" i="20" s="1"/>
  <c r="F1401" i="20" s="1"/>
  <c r="E1055" i="20"/>
  <c r="F1055" i="20" s="1"/>
  <c r="D1402" i="20" l="1"/>
  <c r="E1402" i="20" s="1"/>
  <c r="F1402" i="20" s="1"/>
  <c r="D1056" i="20"/>
  <c r="E1056" i="20" l="1"/>
  <c r="E1057" i="20" s="1"/>
  <c r="D1403" i="20"/>
  <c r="F1056" i="20" l="1"/>
  <c r="E1403" i="20"/>
  <c r="F1403" i="20" s="1"/>
  <c r="D1404" i="20" l="1"/>
  <c r="E1404" i="20" s="1"/>
  <c r="F1404" i="20" s="1"/>
  <c r="D1405" i="20" s="1"/>
  <c r="E1405" i="20" l="1"/>
  <c r="F1405" i="20" s="1"/>
  <c r="D1406" i="20" l="1"/>
  <c r="E1406" i="20" s="1"/>
  <c r="F1406" i="20" s="1"/>
  <c r="D1407" i="20" s="1"/>
  <c r="E1407" i="20" l="1"/>
  <c r="F1407" i="20" s="1"/>
  <c r="D1408" i="20" l="1"/>
  <c r="E1408" i="20" s="1"/>
  <c r="F1408" i="20" s="1"/>
  <c r="D1409" i="20" s="1"/>
  <c r="E1409" i="20" l="1"/>
  <c r="F1409" i="20" s="1"/>
  <c r="D1410" i="20" s="1"/>
  <c r="E1410" i="20" l="1"/>
  <c r="F1410" i="20" s="1"/>
  <c r="D1411" i="20" l="1"/>
  <c r="E1411" i="20" s="1"/>
  <c r="F1411" i="20" s="1"/>
  <c r="D1412" i="20" l="1"/>
  <c r="E1412" i="20" s="1"/>
  <c r="F1412" i="20" s="1"/>
  <c r="D1413" i="20" l="1"/>
  <c r="E1413" i="20" l="1"/>
  <c r="F1413" i="20" s="1"/>
  <c r="D1414" i="20" s="1"/>
  <c r="E1414" i="20" l="1"/>
  <c r="F1414" i="20" s="1"/>
  <c r="D1415" i="20" l="1"/>
  <c r="E1415" i="20" l="1"/>
  <c r="F1415" i="20" s="1"/>
  <c r="D1416" i="20" l="1"/>
  <c r="E1416" i="20" s="1"/>
  <c r="E1417" i="20" s="1"/>
  <c r="F1416" i="20" l="1"/>
  <c r="L43" i="2" l="1"/>
  <c r="L42" i="2"/>
  <c r="D33" i="9" l="1"/>
  <c r="G137" i="2" s="1"/>
  <c r="L41" i="2" l="1"/>
  <c r="G140" i="2"/>
  <c r="L45" i="2" l="1"/>
  <c r="G105" i="2"/>
  <c r="G114" i="2" s="1"/>
  <c r="G118" i="2" s="1"/>
  <c r="G191" i="2" s="1"/>
  <c r="G185" i="2" s="1"/>
  <c r="G189" i="2" s="1"/>
  <c r="L140" i="2"/>
  <c r="L105" i="2" s="1"/>
  <c r="L114" i="2" s="1"/>
  <c r="L118" i="2" s="1"/>
  <c r="D64" i="9" l="1"/>
  <c r="G145" i="2" s="1"/>
  <c r="E28" i="13"/>
  <c r="E30" i="13" s="1"/>
  <c r="L191" i="2"/>
  <c r="F28" i="20"/>
  <c r="F30" i="20" s="1"/>
  <c r="D44" i="9" l="1"/>
  <c r="G144" i="2" s="1"/>
  <c r="G147" i="2" s="1"/>
  <c r="L147" i="2" s="1"/>
  <c r="G56" i="20"/>
  <c r="F34" i="20"/>
  <c r="F36" i="20" s="1"/>
  <c r="F40" i="20" s="1"/>
  <c r="G49" i="20"/>
  <c r="F49" i="13"/>
  <c r="L185" i="2"/>
  <c r="L189" i="2" s="1"/>
  <c r="F50" i="13" s="1"/>
  <c r="F56" i="13"/>
  <c r="E34" i="13"/>
  <c r="E36" i="13" s="1"/>
  <c r="E40" i="13" s="1"/>
  <c r="F57" i="13" s="1"/>
  <c r="F64" i="9"/>
  <c r="G150" i="2" s="1"/>
  <c r="L150" i="2" s="1"/>
  <c r="E64" i="9" l="1"/>
  <c r="G57" i="20"/>
  <c r="G50" i="20"/>
  <c r="F44" i="9" l="1"/>
  <c r="G149" i="2" s="1"/>
  <c r="L149" i="2" l="1"/>
  <c r="L154" i="2" s="1"/>
  <c r="L156" i="2" s="1"/>
  <c r="L158" i="2" s="1"/>
  <c r="L199" i="2" s="1"/>
  <c r="L13" i="2" s="1"/>
  <c r="G154" i="2"/>
  <c r="G156" i="2" s="1"/>
  <c r="G158" i="2" s="1"/>
  <c r="G199" i="2" s="1"/>
  <c r="E44" i="9"/>
  <c r="F47" i="13" l="1"/>
  <c r="F51" i="13" s="1"/>
  <c r="F55" i="13" s="1"/>
  <c r="F58" i="13" s="1"/>
  <c r="L18" i="2"/>
  <c r="G47" i="20"/>
  <c r="G51" i="20" s="1"/>
  <c r="G55" i="20" s="1"/>
  <c r="G58" i="20" s="1"/>
  <c r="L34" i="2"/>
  <c r="L27" i="2"/>
  <c r="L28" i="2" s="1"/>
  <c r="L31" i="2"/>
  <c r="G70" i="20" l="1"/>
  <c r="F70" i="13"/>
  <c r="J95" i="13" s="1"/>
  <c r="G65" i="20"/>
  <c r="G66" i="20" s="1"/>
  <c r="G60" i="20"/>
  <c r="G68" i="20" s="1"/>
  <c r="G69" i="20" s="1"/>
  <c r="F65" i="13"/>
  <c r="F66" i="13" s="1"/>
  <c r="F60" i="13"/>
  <c r="F68" i="13" s="1"/>
  <c r="F69" i="13" s="1"/>
  <c r="F71" i="13" l="1"/>
  <c r="G71" i="20"/>
  <c r="H143" i="13"/>
  <c r="H109" i="13"/>
  <c r="H141" i="13"/>
  <c r="H121" i="13"/>
  <c r="H135" i="13"/>
  <c r="J96" i="13"/>
  <c r="H129" i="13"/>
  <c r="H130" i="13"/>
  <c r="H122" i="13"/>
  <c r="H157" i="13"/>
  <c r="H105" i="13"/>
  <c r="H125" i="13"/>
  <c r="H134" i="13"/>
  <c r="H137" i="13"/>
  <c r="H124" i="13"/>
  <c r="H138" i="13"/>
  <c r="H119" i="13"/>
  <c r="H148" i="13"/>
  <c r="H116" i="13"/>
  <c r="H158" i="13"/>
  <c r="H107" i="13"/>
  <c r="H100" i="13"/>
  <c r="H115" i="13"/>
  <c r="H111" i="13"/>
  <c r="H139" i="13"/>
  <c r="H131" i="13"/>
  <c r="H110" i="13"/>
  <c r="H132" i="13"/>
  <c r="H108" i="13"/>
  <c r="H102" i="13"/>
  <c r="H159" i="13"/>
  <c r="H126" i="13"/>
  <c r="H151" i="13"/>
  <c r="H113" i="13"/>
  <c r="H104" i="13"/>
  <c r="H127" i="13"/>
  <c r="H117" i="13"/>
  <c r="H147" i="13"/>
  <c r="H114" i="13"/>
  <c r="H123" i="13"/>
  <c r="H112" i="13"/>
  <c r="H118" i="13"/>
  <c r="H128" i="13"/>
  <c r="H103" i="13"/>
  <c r="H140" i="13"/>
  <c r="H133" i="13"/>
  <c r="H149" i="13"/>
  <c r="H146" i="13"/>
  <c r="H142" i="13"/>
  <c r="H136" i="13"/>
  <c r="H152" i="13"/>
  <c r="H155" i="13"/>
  <c r="H144" i="13"/>
  <c r="H106" i="13"/>
  <c r="H154" i="13"/>
  <c r="H145" i="13"/>
  <c r="H156" i="13"/>
  <c r="H150" i="13"/>
  <c r="H101" i="13"/>
  <c r="H120" i="13"/>
  <c r="H153" i="13"/>
  <c r="I454" i="20"/>
  <c r="I455" i="20" s="1"/>
  <c r="I96" i="20"/>
  <c r="I543" i="20"/>
  <c r="I544" i="20" s="1"/>
  <c r="I901" i="20"/>
  <c r="I902" i="20" s="1"/>
  <c r="I1172" i="20"/>
  <c r="I1173" i="20" s="1"/>
  <c r="I721" i="20"/>
  <c r="I722" i="20" s="1"/>
  <c r="I810" i="20"/>
  <c r="I811" i="20" s="1"/>
  <c r="I1352" i="20"/>
  <c r="I1353" i="20" s="1"/>
  <c r="I992" i="20"/>
  <c r="I993" i="20" s="1"/>
  <c r="I632" i="20"/>
  <c r="I633" i="20" s="1"/>
  <c r="I186" i="20"/>
  <c r="I187" i="20" s="1"/>
  <c r="I275" i="20"/>
  <c r="I276" i="20" s="1"/>
  <c r="I1262" i="20"/>
  <c r="I1263" i="20" s="1"/>
  <c r="I1082" i="20"/>
  <c r="I1083" i="20" s="1"/>
  <c r="I364" i="20"/>
  <c r="I365" i="20" s="1"/>
  <c r="G1396" i="20" l="1"/>
  <c r="G1025" i="20"/>
  <c r="G935" i="20"/>
  <c r="G1145" i="20"/>
  <c r="G1004" i="20"/>
  <c r="G1316" i="20"/>
  <c r="G369" i="20"/>
  <c r="G826" i="20"/>
  <c r="G1101" i="20"/>
  <c r="G316" i="20"/>
  <c r="G1040" i="20"/>
  <c r="G386" i="20"/>
  <c r="G1222" i="20"/>
  <c r="G603" i="20"/>
  <c r="G851" i="20"/>
  <c r="G552" i="20"/>
  <c r="G286" i="20"/>
  <c r="G305" i="20"/>
  <c r="G334" i="20"/>
  <c r="G601" i="20"/>
  <c r="G1129" i="20"/>
  <c r="G114" i="20"/>
  <c r="G551" i="20"/>
  <c r="G497" i="20"/>
  <c r="G1100" i="20"/>
  <c r="G857" i="20"/>
  <c r="G854" i="20"/>
  <c r="G784" i="20"/>
  <c r="G461" i="20"/>
  <c r="G207" i="20"/>
  <c r="G154" i="20"/>
  <c r="G1200" i="20"/>
  <c r="G315" i="20"/>
  <c r="G835" i="20"/>
  <c r="G314" i="20"/>
  <c r="G371" i="20"/>
  <c r="G420" i="20"/>
  <c r="G918" i="20"/>
  <c r="G736" i="20"/>
  <c r="N713" i="20" s="1"/>
  <c r="G567" i="20"/>
  <c r="G602" i="20"/>
  <c r="G380" i="20"/>
  <c r="G220" i="20"/>
  <c r="G659" i="20"/>
  <c r="G396" i="20"/>
  <c r="G1051" i="20"/>
  <c r="G945" i="20"/>
  <c r="G120" i="20"/>
  <c r="G1300" i="20"/>
  <c r="G778" i="20"/>
  <c r="G1286" i="20"/>
  <c r="G1382" i="20"/>
  <c r="G104" i="20"/>
  <c r="G219" i="20"/>
  <c r="G390" i="20"/>
  <c r="G775" i="20"/>
  <c r="G1107" i="20"/>
  <c r="G1234" i="20"/>
  <c r="G239" i="20"/>
  <c r="G143" i="20"/>
  <c r="G1304" i="20"/>
  <c r="G1050" i="20"/>
  <c r="G696" i="20"/>
  <c r="G155" i="20"/>
  <c r="G1294" i="20"/>
  <c r="G1210" i="20"/>
  <c r="G943" i="20"/>
  <c r="G137" i="20"/>
  <c r="G250" i="20"/>
  <c r="G1123" i="20"/>
  <c r="G841" i="20"/>
  <c r="G280" i="20"/>
  <c r="G1140" i="20"/>
  <c r="G597" i="20"/>
  <c r="G1273" i="20"/>
  <c r="G869" i="20"/>
  <c r="G767" i="20"/>
  <c r="G847" i="20"/>
  <c r="G593" i="20"/>
  <c r="G1314" i="20"/>
  <c r="G395" i="20"/>
  <c r="G679" i="20"/>
  <c r="G906" i="20"/>
  <c r="G1308" i="20"/>
  <c r="G771" i="20"/>
  <c r="G1376" i="20"/>
  <c r="G480" i="20"/>
  <c r="G283" i="20"/>
  <c r="G764" i="20"/>
  <c r="G754" i="20"/>
  <c r="G908" i="20"/>
  <c r="G1389" i="20"/>
  <c r="G1322" i="20"/>
  <c r="G195" i="20"/>
  <c r="G1199" i="20"/>
  <c r="G1233" i="20"/>
  <c r="G596" i="20"/>
  <c r="G1197" i="20"/>
  <c r="G1043" i="20"/>
  <c r="G1218" i="20"/>
  <c r="G228" i="20"/>
  <c r="G866" i="20"/>
  <c r="G645" i="20"/>
  <c r="G1310" i="20"/>
  <c r="G569" i="20"/>
  <c r="G1268" i="20"/>
  <c r="G197" i="20"/>
  <c r="G1033" i="20"/>
  <c r="G1315" i="20"/>
  <c r="G327" i="20"/>
  <c r="G672" i="20"/>
  <c r="G727" i="20"/>
  <c r="G688" i="20"/>
  <c r="G1036" i="20"/>
  <c r="G392" i="20"/>
  <c r="G758" i="20"/>
  <c r="G413" i="20"/>
  <c r="G1360" i="20"/>
  <c r="G1053" i="20"/>
  <c r="G858" i="20"/>
  <c r="G281" i="20"/>
  <c r="G1379" i="20"/>
  <c r="G1326" i="20"/>
  <c r="G123" i="20"/>
  <c r="G205" i="20"/>
  <c r="G1213" i="20"/>
  <c r="I97" i="20"/>
  <c r="G1366" i="20"/>
  <c r="G863" i="20"/>
  <c r="G1211" i="20"/>
  <c r="G1018" i="20"/>
  <c r="G1361" i="20"/>
  <c r="G1005" i="20"/>
  <c r="G299" i="20"/>
  <c r="G910" i="20"/>
  <c r="G832" i="20"/>
  <c r="G561" i="20"/>
  <c r="G374" i="20"/>
  <c r="G282" i="20"/>
  <c r="G930" i="20"/>
  <c r="G921" i="20"/>
  <c r="G1386" i="20"/>
  <c r="G1047" i="20"/>
  <c r="G509" i="20"/>
  <c r="G1143" i="20"/>
  <c r="G924" i="20"/>
  <c r="G1110" i="20"/>
  <c r="G823" i="20"/>
  <c r="G864" i="20"/>
  <c r="G947" i="20"/>
  <c r="G1319" i="20"/>
  <c r="G938" i="20"/>
  <c r="G1298" i="20"/>
  <c r="G291" i="20"/>
  <c r="G770" i="20"/>
  <c r="G513" i="20"/>
  <c r="G746" i="20"/>
  <c r="G145" i="20"/>
  <c r="G1000" i="20"/>
  <c r="G651" i="20"/>
  <c r="G1277" i="20"/>
  <c r="G582" i="20"/>
  <c r="G1130" i="20"/>
  <c r="G284" i="20"/>
  <c r="G147" i="20"/>
  <c r="G244" i="20"/>
  <c r="G1301" i="20"/>
  <c r="G1096" i="20"/>
  <c r="G1323" i="20"/>
  <c r="G245" i="20"/>
  <c r="G1026" i="20"/>
  <c r="G330" i="20"/>
  <c r="G1309" i="20"/>
  <c r="G126" i="20"/>
  <c r="G301" i="20"/>
  <c r="G1279" i="20"/>
  <c r="G655" i="20"/>
  <c r="G684" i="20"/>
  <c r="G1388" i="20"/>
  <c r="G422" i="20"/>
  <c r="G385" i="20"/>
  <c r="G591" i="20"/>
  <c r="G372" i="20"/>
  <c r="G311" i="20"/>
  <c r="G511" i="20"/>
  <c r="G1184" i="20"/>
  <c r="G377" i="20"/>
  <c r="G963" i="20"/>
  <c r="G107" i="20"/>
  <c r="G125" i="20"/>
  <c r="G579" i="20"/>
  <c r="G948" i="20"/>
  <c r="G1397" i="20"/>
  <c r="G290" i="20"/>
  <c r="G400" i="20"/>
  <c r="G1306" i="20"/>
  <c r="G102" i="20"/>
  <c r="G127" i="20"/>
  <c r="G843" i="20"/>
  <c r="G211" i="20"/>
  <c r="G467" i="20"/>
  <c r="G117" i="20"/>
  <c r="G475" i="20"/>
  <c r="G741" i="20"/>
  <c r="G653" i="20"/>
  <c r="G825" i="20"/>
  <c r="G292" i="20"/>
  <c r="G834" i="20"/>
  <c r="G225" i="20"/>
  <c r="G560" i="20"/>
  <c r="G860" i="20"/>
  <c r="G1028" i="20"/>
  <c r="G1122" i="20"/>
  <c r="G873" i="20"/>
  <c r="G959" i="20"/>
  <c r="G490" i="20"/>
  <c r="G295" i="20"/>
  <c r="G103" i="20"/>
  <c r="G1137" i="20"/>
  <c r="G589" i="20"/>
  <c r="G956" i="20"/>
  <c r="G1283" i="20"/>
  <c r="G656" i="20"/>
  <c r="G765" i="20"/>
  <c r="G1370" i="20"/>
  <c r="G928" i="20"/>
  <c r="G1380" i="20"/>
  <c r="G1048" i="20"/>
  <c r="G473" i="20"/>
  <c r="G1276" i="20"/>
  <c r="G677" i="20"/>
  <c r="G1097" i="20"/>
  <c r="G1126" i="20"/>
  <c r="G405" i="20"/>
  <c r="G950" i="20"/>
  <c r="G1293" i="20"/>
  <c r="G1206" i="20"/>
  <c r="G1125" i="20"/>
  <c r="G148" i="20"/>
  <c r="G783" i="20"/>
  <c r="G1303" i="20"/>
  <c r="G288" i="20"/>
  <c r="G222" i="20"/>
  <c r="G1231" i="20"/>
  <c r="G749" i="20"/>
  <c r="G926" i="20"/>
  <c r="G1365" i="20"/>
  <c r="G961" i="20"/>
  <c r="G1027" i="20"/>
  <c r="G410" i="20"/>
  <c r="G1034" i="20"/>
  <c r="G830" i="20"/>
  <c r="G131" i="20"/>
  <c r="G822" i="20"/>
  <c r="G955" i="20"/>
  <c r="G238" i="20"/>
  <c r="G287" i="20"/>
  <c r="G913" i="20"/>
  <c r="G160" i="20"/>
  <c r="G404" i="20"/>
  <c r="G496" i="20"/>
  <c r="G1325" i="20"/>
  <c r="G1177" i="20"/>
  <c r="G1186" i="20"/>
  <c r="G383" i="20"/>
  <c r="G937" i="20"/>
  <c r="G670" i="20"/>
  <c r="G370" i="20"/>
  <c r="G595" i="20"/>
  <c r="G1284" i="20"/>
  <c r="G872" i="20"/>
  <c r="G1182" i="20"/>
  <c r="G1392" i="20"/>
  <c r="G472" i="20"/>
  <c r="G941" i="20"/>
  <c r="G121" i="20"/>
  <c r="G1371" i="20"/>
  <c r="G1203" i="20"/>
  <c r="G401" i="20"/>
  <c r="G750" i="20"/>
  <c r="G1267" i="20"/>
  <c r="G638" i="20"/>
  <c r="G590" i="20"/>
  <c r="G640" i="20"/>
  <c r="G1190" i="20"/>
  <c r="G1391" i="20"/>
  <c r="G605" i="20"/>
  <c r="G1191" i="20"/>
  <c r="G112" i="20"/>
  <c r="G766" i="20"/>
  <c r="G780" i="20"/>
  <c r="G206" i="20"/>
  <c r="G607" i="20"/>
  <c r="G1037" i="20"/>
  <c r="G1357" i="20"/>
  <c r="N1344" i="20" s="1"/>
  <c r="G489" i="20"/>
  <c r="G951" i="20"/>
  <c r="G293" i="20"/>
  <c r="N267" i="20" s="1"/>
  <c r="G559" i="20"/>
  <c r="G322" i="20"/>
  <c r="G471" i="20"/>
  <c r="G852" i="20"/>
  <c r="G594" i="20"/>
  <c r="G744" i="20"/>
  <c r="G1364" i="20"/>
  <c r="G682" i="20"/>
  <c r="G999" i="20"/>
  <c r="G572" i="20"/>
  <c r="G573" i="20"/>
  <c r="G850" i="20"/>
  <c r="G912" i="20"/>
  <c r="G134" i="20"/>
  <c r="G575" i="20"/>
  <c r="G506" i="20"/>
  <c r="G1377" i="20"/>
  <c r="G108" i="20"/>
  <c r="G954" i="20"/>
  <c r="G554" i="20"/>
  <c r="G306" i="20"/>
  <c r="G230" i="20"/>
  <c r="G819" i="20"/>
  <c r="G681" i="20"/>
  <c r="G111" i="20"/>
  <c r="G1105" i="20"/>
  <c r="G760" i="20"/>
  <c r="G917" i="20"/>
  <c r="G246" i="20"/>
  <c r="G1296" i="20"/>
  <c r="G909" i="20"/>
  <c r="G474" i="20"/>
  <c r="G1373" i="20"/>
  <c r="G227" i="20"/>
  <c r="G1046" i="20"/>
  <c r="G1139" i="20"/>
  <c r="G1189" i="20"/>
  <c r="G118" i="20"/>
  <c r="G203" i="20"/>
  <c r="G285" i="20"/>
  <c r="G1183" i="20"/>
  <c r="G650" i="20"/>
  <c r="G729" i="20"/>
  <c r="G329" i="20"/>
  <c r="G215" i="20"/>
  <c r="G838" i="20"/>
  <c r="G1195" i="20"/>
  <c r="G550" i="20"/>
  <c r="G1013" i="20"/>
  <c r="G752" i="20"/>
  <c r="G925" i="20"/>
  <c r="G1024" i="20"/>
  <c r="G217" i="20"/>
  <c r="G333" i="20"/>
  <c r="G128" i="20"/>
  <c r="G412" i="20"/>
  <c r="G1144" i="20"/>
  <c r="G470" i="20"/>
  <c r="G303" i="20"/>
  <c r="G742" i="20"/>
  <c r="G158" i="20"/>
  <c r="G1221" i="20"/>
  <c r="G1307" i="20"/>
  <c r="G139" i="20"/>
  <c r="G1201" i="20"/>
  <c r="G465" i="20"/>
  <c r="G1269" i="20"/>
  <c r="N1254" i="20" s="1"/>
  <c r="G856" i="20"/>
  <c r="G492" i="20"/>
  <c r="G1395" i="20"/>
  <c r="G403" i="20"/>
  <c r="G683" i="20"/>
  <c r="G402" i="20"/>
  <c r="G232" i="20"/>
  <c r="G240" i="20"/>
  <c r="G574" i="20"/>
  <c r="G1044" i="20"/>
  <c r="G151" i="20"/>
  <c r="G761" i="20"/>
  <c r="G1039" i="20"/>
  <c r="G1362" i="20"/>
  <c r="G642" i="20"/>
  <c r="G223" i="20"/>
  <c r="G577" i="20"/>
  <c r="G566" i="20"/>
  <c r="G1272" i="20"/>
  <c r="G820" i="20"/>
  <c r="G483" i="20"/>
  <c r="G1270" i="20"/>
  <c r="G665" i="20"/>
  <c r="G929" i="20"/>
  <c r="G503" i="20"/>
  <c r="G1138" i="20"/>
  <c r="G485" i="20"/>
  <c r="G1359" i="20"/>
  <c r="G1285" i="20"/>
  <c r="G1212" i="20"/>
  <c r="G833" i="20"/>
  <c r="G418" i="20"/>
  <c r="G934" i="20"/>
  <c r="G1215" i="20"/>
  <c r="G159" i="20"/>
  <c r="G388" i="20"/>
  <c r="G469" i="20"/>
  <c r="N446" i="20" s="1"/>
  <c r="G663" i="20"/>
  <c r="G1324" i="20"/>
  <c r="G202" i="20"/>
  <c r="G336" i="20"/>
  <c r="G1318" i="20"/>
  <c r="G998" i="20"/>
  <c r="G1226" i="20"/>
  <c r="G407" i="20"/>
  <c r="G923" i="20"/>
  <c r="G1311" i="20"/>
  <c r="G1312" i="20"/>
  <c r="G411" i="20"/>
  <c r="G842" i="20"/>
  <c r="G564" i="20"/>
  <c r="G1092" i="20"/>
  <c r="G562" i="20"/>
  <c r="G1235" i="20"/>
  <c r="G1009" i="20"/>
  <c r="G1091" i="20"/>
  <c r="G772" i="20"/>
  <c r="G466" i="20"/>
  <c r="G1383" i="20"/>
  <c r="G214" i="20"/>
  <c r="G142" i="20"/>
  <c r="G391" i="20"/>
  <c r="G1001" i="20"/>
  <c r="N984" i="20" s="1"/>
  <c r="G565" i="20"/>
  <c r="G1102" i="20"/>
  <c r="G317" i="20"/>
  <c r="G691" i="20"/>
  <c r="G779" i="20"/>
  <c r="G460" i="20"/>
  <c r="G328" i="20"/>
  <c r="G1227" i="20"/>
  <c r="G1127" i="20"/>
  <c r="G693" i="20"/>
  <c r="G493" i="20"/>
  <c r="G1275" i="20"/>
  <c r="G668" i="20"/>
  <c r="G1038" i="20"/>
  <c r="G667" i="20"/>
  <c r="G1094" i="20"/>
  <c r="G1011" i="20"/>
  <c r="G649" i="20"/>
  <c r="G231" i="20"/>
  <c r="G124" i="20"/>
  <c r="G236" i="20"/>
  <c r="G1224" i="20"/>
  <c r="G933" i="20"/>
  <c r="G1274" i="20"/>
  <c r="G508" i="20"/>
  <c r="G585" i="20"/>
  <c r="G1358" i="20"/>
  <c r="G578" i="20"/>
  <c r="G302" i="20"/>
  <c r="G1320" i="20"/>
  <c r="G382" i="20"/>
  <c r="G1372" i="20"/>
  <c r="G419" i="20"/>
  <c r="G1124" i="20"/>
  <c r="G1023" i="20"/>
  <c r="G199" i="20"/>
  <c r="G1321" i="20"/>
  <c r="G1032" i="20"/>
  <c r="G931" i="20"/>
  <c r="G249" i="20"/>
  <c r="G1271" i="20"/>
  <c r="G914" i="20"/>
  <c r="G939" i="20"/>
  <c r="G576" i="20"/>
  <c r="G1135" i="20"/>
  <c r="G212" i="20"/>
  <c r="G296" i="20"/>
  <c r="G581" i="20"/>
  <c r="G652" i="20"/>
  <c r="G678" i="20"/>
  <c r="G827" i="20"/>
  <c r="G294" i="20"/>
  <c r="G213" i="20"/>
  <c r="G325" i="20"/>
  <c r="G555" i="20"/>
  <c r="G940" i="20"/>
  <c r="G599" i="20"/>
  <c r="G661" i="20"/>
  <c r="G204" i="20"/>
  <c r="N178" i="20" s="1"/>
  <c r="G740" i="20"/>
  <c r="G867" i="20"/>
  <c r="G201" i="20"/>
  <c r="G1219" i="20"/>
  <c r="G308" i="20"/>
  <c r="G1217" i="20"/>
  <c r="G932" i="20"/>
  <c r="G324" i="20"/>
  <c r="G309" i="20"/>
  <c r="G198" i="20"/>
  <c r="G604" i="20"/>
  <c r="G338" i="20"/>
  <c r="G517" i="20"/>
  <c r="G654" i="20"/>
  <c r="G1216" i="20"/>
  <c r="G136" i="20"/>
  <c r="G427" i="20"/>
  <c r="G592" i="20"/>
  <c r="G1111" i="20"/>
  <c r="G846" i="20"/>
  <c r="G1202" i="20"/>
  <c r="G500" i="20"/>
  <c r="G965" i="20"/>
  <c r="G845" i="20"/>
  <c r="G129" i="20"/>
  <c r="G1369" i="20"/>
  <c r="G1295" i="20"/>
  <c r="G1015" i="20"/>
  <c r="G1019" i="20"/>
  <c r="G135" i="20"/>
  <c r="G1302" i="20"/>
  <c r="G960" i="20"/>
  <c r="G518" i="20"/>
  <c r="G927" i="20"/>
  <c r="G685" i="20"/>
  <c r="G676" i="20"/>
  <c r="G1014" i="20"/>
  <c r="G331" i="20"/>
  <c r="G504" i="20"/>
  <c r="G570" i="20"/>
  <c r="G1281" i="20"/>
  <c r="G1108" i="20"/>
  <c r="G997" i="20"/>
  <c r="G855" i="20"/>
  <c r="G1385" i="20"/>
  <c r="G498" i="20"/>
  <c r="G735" i="20"/>
  <c r="G1141" i="20"/>
  <c r="G868" i="20"/>
  <c r="G216" i="20"/>
  <c r="G1045" i="20"/>
  <c r="G335" i="20"/>
  <c r="G156" i="20"/>
  <c r="G1229" i="20"/>
  <c r="G428" i="20"/>
  <c r="G953" i="20"/>
  <c r="G1106" i="20"/>
  <c r="G399" i="20"/>
  <c r="G915" i="20"/>
  <c r="G1393" i="20"/>
  <c r="G739" i="20"/>
  <c r="G1367" i="20"/>
  <c r="G1375" i="20"/>
  <c r="G1228" i="20"/>
  <c r="G817" i="20"/>
  <c r="G424" i="20"/>
  <c r="G776" i="20"/>
  <c r="G421" i="20"/>
  <c r="G942" i="20"/>
  <c r="G957" i="20"/>
  <c r="G726" i="20"/>
  <c r="G1187" i="20"/>
  <c r="G514" i="20"/>
  <c r="G408" i="20"/>
  <c r="G378" i="20"/>
  <c r="G549" i="20"/>
  <c r="G556" i="20"/>
  <c r="G379" i="20"/>
  <c r="G423" i="20"/>
  <c r="G516" i="20"/>
  <c r="G515" i="20"/>
  <c r="G1022" i="20"/>
  <c r="G319" i="20"/>
  <c r="G949" i="20"/>
  <c r="G1198" i="20"/>
  <c r="G321" i="20"/>
  <c r="G138" i="20"/>
  <c r="G105" i="20"/>
  <c r="G1291" i="20"/>
  <c r="G233" i="20"/>
  <c r="G1188" i="20"/>
  <c r="G674" i="20"/>
  <c r="G646" i="20"/>
  <c r="G1394" i="20"/>
  <c r="G870" i="20"/>
  <c r="G920" i="20"/>
  <c r="G911" i="20"/>
  <c r="G320" i="20"/>
  <c r="G393" i="20"/>
  <c r="G1116" i="20"/>
  <c r="G692" i="20"/>
  <c r="G1225" i="20"/>
  <c r="G1087" i="20"/>
  <c r="G218" i="20"/>
  <c r="G1374" i="20"/>
  <c r="G747" i="20"/>
  <c r="G1052" i="20"/>
  <c r="G563" i="20"/>
  <c r="G1121" i="20"/>
  <c r="G210" i="20"/>
  <c r="G689" i="20"/>
  <c r="G1146" i="20"/>
  <c r="G115" i="20"/>
  <c r="N88" i="20" s="1"/>
  <c r="G394" i="20"/>
  <c r="G376" i="20"/>
  <c r="G505" i="20"/>
  <c r="G323" i="20"/>
  <c r="G1180" i="20"/>
  <c r="G828" i="20"/>
  <c r="G1012" i="20"/>
  <c r="G157" i="20"/>
  <c r="G110" i="20"/>
  <c r="G694" i="20"/>
  <c r="G389" i="20"/>
  <c r="G208" i="20"/>
  <c r="G657" i="20"/>
  <c r="G1209" i="20"/>
  <c r="G733" i="20"/>
  <c r="G583" i="20"/>
  <c r="G763" i="20"/>
  <c r="G1204" i="20"/>
  <c r="G568" i="20"/>
  <c r="G686" i="20"/>
  <c r="G1093" i="20"/>
  <c r="G192" i="20"/>
  <c r="G144" i="20"/>
  <c r="G1098" i="20"/>
  <c r="G848" i="20"/>
  <c r="G1021" i="20"/>
  <c r="G639" i="20"/>
  <c r="G584" i="20"/>
  <c r="G637" i="20"/>
  <c r="G1016" i="20"/>
  <c r="G1207" i="20"/>
  <c r="G1193" i="20"/>
  <c r="G648" i="20"/>
  <c r="G229" i="20"/>
  <c r="G1131" i="20"/>
  <c r="G666" i="20"/>
  <c r="G1017" i="20"/>
  <c r="G1232" i="20"/>
  <c r="G1010" i="20"/>
  <c r="G557" i="20"/>
  <c r="G375" i="20"/>
  <c r="G499" i="20"/>
  <c r="G221" i="20"/>
  <c r="G1214" i="20"/>
  <c r="G1196" i="20"/>
  <c r="G946" i="20"/>
  <c r="G1297" i="20"/>
  <c r="G339" i="20"/>
  <c r="G587" i="20"/>
  <c r="G785" i="20"/>
  <c r="G759" i="20"/>
  <c r="G669" i="20"/>
  <c r="G242" i="20"/>
  <c r="G234" i="20"/>
  <c r="G1368" i="20"/>
  <c r="G757" i="20"/>
  <c r="G482" i="20"/>
  <c r="G859" i="20"/>
  <c r="G598" i="20"/>
  <c r="G1223" i="20"/>
  <c r="G1030" i="20"/>
  <c r="G150" i="20"/>
  <c r="G384" i="20"/>
  <c r="G297" i="20"/>
  <c r="G491" i="20"/>
  <c r="G298" i="20"/>
  <c r="G1220" i="20"/>
  <c r="G486" i="20"/>
  <c r="G501" i="20"/>
  <c r="G1384" i="20"/>
  <c r="G464" i="20"/>
  <c r="G816" i="20"/>
  <c r="G1194" i="20"/>
  <c r="G512" i="20"/>
  <c r="G1208" i="20"/>
  <c r="G1090" i="20"/>
  <c r="G414" i="20"/>
  <c r="G426" i="20"/>
  <c r="G844" i="20"/>
  <c r="G481" i="20"/>
  <c r="G476" i="20"/>
  <c r="G673" i="20"/>
  <c r="G818" i="20"/>
  <c r="G836" i="20"/>
  <c r="G1035" i="20"/>
  <c r="G849" i="20"/>
  <c r="G936" i="20"/>
  <c r="G1179" i="20"/>
  <c r="N1164" i="20" s="1"/>
  <c r="G1095" i="20"/>
  <c r="G871" i="20"/>
  <c r="G580" i="20"/>
  <c r="G1288" i="20"/>
  <c r="G312" i="20"/>
  <c r="G1029" i="20"/>
  <c r="G919" i="20"/>
  <c r="G152" i="20"/>
  <c r="G1178" i="20"/>
  <c r="G821" i="20"/>
  <c r="G1185" i="20"/>
  <c r="G194" i="20"/>
  <c r="G1002" i="20"/>
  <c r="G318" i="20"/>
  <c r="G1031" i="20"/>
  <c r="G861" i="20"/>
  <c r="G200" i="20"/>
  <c r="G571" i="20"/>
  <c r="G753" i="20"/>
  <c r="G1113" i="20"/>
  <c r="G1088" i="20"/>
  <c r="G1292" i="20"/>
  <c r="G777" i="20"/>
  <c r="G310" i="20"/>
  <c r="G191" i="20"/>
  <c r="G1133" i="20"/>
  <c r="G1290" i="20"/>
  <c r="G381" i="20"/>
  <c r="N356" i="20" s="1"/>
  <c r="G1390" i="20"/>
  <c r="G289" i="20"/>
  <c r="G116" i="20"/>
  <c r="G874" i="20"/>
  <c r="G755" i="20"/>
  <c r="G781" i="20"/>
  <c r="G415" i="20"/>
  <c r="G829" i="20"/>
  <c r="G140" i="20"/>
  <c r="G588" i="20"/>
  <c r="G133" i="20"/>
  <c r="G853" i="20"/>
  <c r="G1381" i="20"/>
  <c r="G644" i="20"/>
  <c r="G1049" i="20"/>
  <c r="G1006" i="20"/>
  <c r="G502" i="20"/>
  <c r="G1020" i="20"/>
  <c r="G824" i="20"/>
  <c r="N802" i="20" s="1"/>
  <c r="G196" i="20"/>
  <c r="G106" i="20"/>
  <c r="G226" i="20"/>
  <c r="G146" i="20"/>
  <c r="G109" i="20"/>
  <c r="G478" i="20"/>
  <c r="G337" i="20"/>
  <c r="G1128" i="20"/>
  <c r="G1363" i="20"/>
  <c r="G119" i="20"/>
  <c r="G1134" i="20"/>
  <c r="G680" i="20"/>
  <c r="G484" i="20"/>
  <c r="G952" i="20"/>
  <c r="G768" i="20"/>
  <c r="G241" i="20"/>
  <c r="G1136" i="20"/>
  <c r="G1236" i="20"/>
  <c r="G1387" i="20"/>
  <c r="G468" i="20"/>
  <c r="G586" i="20"/>
  <c r="G224" i="20"/>
  <c r="G1313" i="20"/>
  <c r="G332" i="20"/>
  <c r="G153" i="20"/>
  <c r="G737" i="20"/>
  <c r="G494" i="20"/>
  <c r="G132" i="20"/>
  <c r="G643" i="20"/>
  <c r="G815" i="20"/>
  <c r="G1282" i="20"/>
  <c r="G1181" i="20"/>
  <c r="G690" i="20"/>
  <c r="G397" i="20"/>
  <c r="G839" i="20"/>
  <c r="G487" i="20"/>
  <c r="G782" i="20"/>
  <c r="G459" i="20"/>
  <c r="G1289" i="20"/>
  <c r="G113" i="20"/>
  <c r="G553" i="20"/>
  <c r="G1003" i="20"/>
  <c r="G1089" i="20"/>
  <c r="N1074" i="20" s="1"/>
  <c r="G773" i="20"/>
  <c r="G507" i="20"/>
  <c r="G495" i="20"/>
  <c r="G1278" i="20"/>
  <c r="G1112" i="20"/>
  <c r="G373" i="20"/>
  <c r="G964" i="20"/>
  <c r="G1132" i="20"/>
  <c r="G1230" i="20"/>
  <c r="G398" i="20"/>
  <c r="G962" i="20"/>
  <c r="G1205" i="20"/>
  <c r="G548" i="20"/>
  <c r="G743" i="20"/>
  <c r="G425" i="20"/>
  <c r="G463" i="20"/>
  <c r="G387" i="20"/>
  <c r="G907" i="20"/>
  <c r="G1317" i="20"/>
  <c r="G660" i="20"/>
  <c r="G307" i="20"/>
  <c r="G1103" i="20"/>
  <c r="G193" i="20"/>
  <c r="G248" i="20"/>
  <c r="G840" i="20"/>
  <c r="G731" i="20"/>
  <c r="G732" i="20"/>
  <c r="G300" i="20"/>
  <c r="G658" i="20"/>
  <c r="G756" i="20"/>
  <c r="G1041" i="20"/>
  <c r="G406" i="20"/>
  <c r="G1099" i="20"/>
  <c r="G1287" i="20"/>
  <c r="G837" i="20"/>
  <c r="G745" i="20"/>
  <c r="G862" i="20"/>
  <c r="G831" i="20"/>
  <c r="G409" i="20"/>
  <c r="G958" i="20"/>
  <c r="G922" i="20"/>
  <c r="G141" i="20"/>
  <c r="G769" i="20"/>
  <c r="G662" i="20"/>
  <c r="G751" i="20"/>
  <c r="G1142" i="20"/>
  <c r="G1117" i="20"/>
  <c r="G416" i="20"/>
  <c r="G695" i="20"/>
  <c r="G477" i="20"/>
  <c r="G1299" i="20"/>
  <c r="G1007" i="20"/>
  <c r="G479" i="20"/>
  <c r="G1104" i="20"/>
  <c r="G1119" i="20"/>
  <c r="G1118" i="20"/>
  <c r="G235" i="20"/>
  <c r="G1008" i="20"/>
  <c r="G664" i="20"/>
  <c r="G1115" i="20"/>
  <c r="G1109" i="20"/>
  <c r="G130" i="20"/>
  <c r="G149" i="20"/>
  <c r="G606" i="20"/>
  <c r="G647" i="20"/>
  <c r="N624" i="20" s="1"/>
  <c r="G313" i="20"/>
  <c r="G641" i="20"/>
  <c r="G734" i="20"/>
  <c r="G738" i="20"/>
  <c r="G101" i="20"/>
  <c r="G865" i="20"/>
  <c r="G237" i="20"/>
  <c r="G1120" i="20"/>
  <c r="G510" i="20"/>
  <c r="G730" i="20"/>
  <c r="G687" i="20"/>
  <c r="G417" i="20"/>
  <c r="G1114" i="20"/>
  <c r="G916" i="20"/>
  <c r="N893" i="20" s="1"/>
  <c r="G774" i="20"/>
  <c r="G558" i="20"/>
  <c r="N535" i="20" s="1"/>
  <c r="G1192" i="20"/>
  <c r="G209" i="20"/>
  <c r="G326" i="20"/>
  <c r="G243" i="20"/>
  <c r="G728" i="20"/>
  <c r="G304" i="20"/>
  <c r="G675" i="20"/>
  <c r="G748" i="20"/>
  <c r="G488" i="20"/>
  <c r="G462" i="20"/>
  <c r="G671" i="20"/>
  <c r="G122" i="20"/>
  <c r="G762" i="20"/>
  <c r="G1042" i="20"/>
  <c r="G247" i="20"/>
  <c r="G944" i="20"/>
  <c r="G600" i="20"/>
  <c r="G1378" i="20"/>
  <c r="G1305" i="20"/>
  <c r="G1280" i="20"/>
  <c r="G1398" i="20"/>
  <c r="G1399" i="20"/>
  <c r="G1054" i="20"/>
  <c r="G1401" i="20"/>
  <c r="G1055" i="20"/>
  <c r="G1400" i="20"/>
  <c r="G1402" i="20"/>
  <c r="G1056" i="20"/>
  <c r="G1403" i="20"/>
  <c r="G1404" i="20"/>
  <c r="G1405" i="20"/>
  <c r="G1406" i="20"/>
  <c r="G1407" i="20"/>
  <c r="G1408" i="20"/>
  <c r="G1409" i="20"/>
  <c r="G1410" i="20"/>
  <c r="G1411" i="20"/>
  <c r="G1412" i="20"/>
  <c r="G1413" i="20"/>
  <c r="G1414" i="20"/>
  <c r="G1415" i="20"/>
  <c r="G1416" i="20"/>
  <c r="I117" i="13"/>
  <c r="J117" i="13" s="1"/>
  <c r="I157" i="13"/>
  <c r="J157" i="13" s="1"/>
  <c r="I139" i="13"/>
  <c r="J139" i="13" s="1"/>
  <c r="I140" i="13"/>
  <c r="J140" i="13" s="1"/>
  <c r="I144" i="13"/>
  <c r="J144" i="13" s="1"/>
  <c r="I125" i="13"/>
  <c r="J125" i="13" s="1"/>
  <c r="I123" i="13"/>
  <c r="J123" i="13" s="1"/>
  <c r="I122" i="13"/>
  <c r="J122" i="13" s="1"/>
  <c r="I115" i="13"/>
  <c r="J115" i="13" s="1"/>
  <c r="I113" i="13"/>
  <c r="J113" i="13" s="1"/>
  <c r="I121" i="13"/>
  <c r="J121" i="13" s="1"/>
  <c r="I132" i="13"/>
  <c r="J132" i="13" s="1"/>
  <c r="I133" i="13"/>
  <c r="J133" i="13" s="1"/>
  <c r="I158" i="13"/>
  <c r="J158" i="13" s="1"/>
  <c r="I149" i="13"/>
  <c r="J149" i="13" s="1"/>
  <c r="I130" i="13"/>
  <c r="J130" i="13" s="1"/>
  <c r="I147" i="13"/>
  <c r="J147" i="13" s="1"/>
  <c r="I112" i="13"/>
  <c r="J112" i="13" s="1"/>
  <c r="I129" i="13"/>
  <c r="J129" i="13" s="1"/>
  <c r="I103" i="13"/>
  <c r="J103" i="13" s="1"/>
  <c r="I104" i="13"/>
  <c r="J104" i="13" s="1"/>
  <c r="I111" i="13"/>
  <c r="J111" i="13" s="1"/>
  <c r="I109" i="13"/>
  <c r="J109" i="13" s="1"/>
  <c r="I151" i="13"/>
  <c r="J151" i="13" s="1"/>
  <c r="I126" i="13"/>
  <c r="J126" i="13" s="1"/>
  <c r="I101" i="13"/>
  <c r="J101" i="13" s="1"/>
  <c r="I127" i="13"/>
  <c r="J127" i="13" s="1"/>
  <c r="I150" i="13"/>
  <c r="J150" i="13" s="1"/>
  <c r="I136" i="13"/>
  <c r="J136" i="13" s="1"/>
  <c r="I100" i="13"/>
  <c r="I124" i="13"/>
  <c r="J124" i="13" s="1"/>
  <c r="I120" i="13"/>
  <c r="J120" i="13" s="1"/>
  <c r="I131" i="13"/>
  <c r="J131" i="13" s="1"/>
  <c r="I110" i="13"/>
  <c r="J110" i="13" s="1"/>
  <c r="I102" i="13"/>
  <c r="J102" i="13" s="1"/>
  <c r="I159" i="13"/>
  <c r="J159" i="13" s="1"/>
  <c r="I128" i="13"/>
  <c r="J128" i="13" s="1"/>
  <c r="I134" i="13"/>
  <c r="J134" i="13" s="1"/>
  <c r="I153" i="13"/>
  <c r="J153" i="13" s="1"/>
  <c r="I148" i="13"/>
  <c r="J148" i="13" s="1"/>
  <c r="I143" i="13"/>
  <c r="J143" i="13" s="1"/>
  <c r="I107" i="13"/>
  <c r="J107" i="13" s="1"/>
  <c r="I155" i="13"/>
  <c r="J155" i="13" s="1"/>
  <c r="I138" i="13"/>
  <c r="J138" i="13" s="1"/>
  <c r="I116" i="13"/>
  <c r="J116" i="13" s="1"/>
  <c r="I108" i="13"/>
  <c r="J108" i="13" s="1"/>
  <c r="I145" i="13"/>
  <c r="J145" i="13" s="1"/>
  <c r="I118" i="13"/>
  <c r="J118" i="13" s="1"/>
  <c r="I105" i="13"/>
  <c r="J105" i="13" s="1"/>
  <c r="I106" i="13"/>
  <c r="J106" i="13" s="1"/>
  <c r="I146" i="13"/>
  <c r="J146" i="13" s="1"/>
  <c r="I154" i="13"/>
  <c r="J154" i="13" s="1"/>
  <c r="I152" i="13"/>
  <c r="J152" i="13" s="1"/>
  <c r="I114" i="13"/>
  <c r="J114" i="13" s="1"/>
  <c r="I135" i="13"/>
  <c r="J135" i="13" s="1"/>
  <c r="I137" i="13"/>
  <c r="J137" i="13" s="1"/>
  <c r="I142" i="13"/>
  <c r="J142" i="13" s="1"/>
  <c r="I141" i="13"/>
  <c r="J141" i="13" s="1"/>
  <c r="I156" i="13"/>
  <c r="J156" i="13" s="1"/>
  <c r="I119" i="13"/>
  <c r="J119" i="13" s="1"/>
  <c r="H160" i="13"/>
  <c r="G966" i="20" l="1"/>
  <c r="M26" i="20"/>
  <c r="G24" i="2" s="1"/>
  <c r="L24" i="2" s="1"/>
  <c r="G786" i="20"/>
  <c r="G251" i="20"/>
  <c r="G697" i="20"/>
  <c r="G1237" i="20"/>
  <c r="G875" i="20"/>
  <c r="G161" i="20"/>
  <c r="G608" i="20"/>
  <c r="G429" i="20"/>
  <c r="G1417" i="20"/>
  <c r="G1057" i="20"/>
  <c r="G519" i="20"/>
  <c r="G1147" i="20"/>
  <c r="G340" i="20"/>
  <c r="J100" i="13"/>
  <c r="J160" i="13" s="1"/>
  <c r="I160" i="13"/>
  <c r="G1327" i="20"/>
  <c r="H309" i="20"/>
  <c r="I309" i="20" s="1"/>
  <c r="H873" i="20"/>
  <c r="I873" i="20" s="1"/>
  <c r="H652" i="20"/>
  <c r="I652" i="20" s="1"/>
  <c r="H739" i="20"/>
  <c r="I739" i="20" s="1"/>
  <c r="H425" i="20"/>
  <c r="I425" i="20" s="1"/>
  <c r="H396" i="20"/>
  <c r="I396" i="20" s="1"/>
  <c r="H468" i="20"/>
  <c r="I468" i="20" s="1"/>
  <c r="H461" i="20"/>
  <c r="I461" i="20" s="1"/>
  <c r="H203" i="20"/>
  <c r="I203" i="20" s="1"/>
  <c r="H337" i="20"/>
  <c r="I337" i="20" s="1"/>
  <c r="H733" i="20"/>
  <c r="I733" i="20" s="1"/>
  <c r="H491" i="20"/>
  <c r="I491" i="20" s="1"/>
  <c r="H667" i="20"/>
  <c r="I667" i="20" s="1"/>
  <c r="H822" i="20"/>
  <c r="I822" i="20" s="1"/>
  <c r="H417" i="20"/>
  <c r="I417" i="20" s="1"/>
  <c r="H1117" i="20"/>
  <c r="I1117" i="20" s="1"/>
  <c r="H332" i="20"/>
  <c r="I332" i="20" s="1"/>
  <c r="H1183" i="20"/>
  <c r="I1183" i="20" s="1"/>
  <c r="H141" i="20"/>
  <c r="I141" i="20" s="1"/>
  <c r="H582" i="20"/>
  <c r="I582" i="20" s="1"/>
  <c r="H659" i="20"/>
  <c r="I659" i="20" s="1"/>
  <c r="H147" i="20"/>
  <c r="I147" i="20" s="1"/>
  <c r="H569" i="20"/>
  <c r="I569" i="20" s="1"/>
  <c r="H919" i="20"/>
  <c r="I919" i="20" s="1"/>
  <c r="H1326" i="20"/>
  <c r="I1326" i="20" s="1"/>
  <c r="H728" i="20"/>
  <c r="I728" i="20" s="1"/>
  <c r="H551" i="20"/>
  <c r="I551" i="20" s="1"/>
  <c r="H488" i="20"/>
  <c r="I488" i="20" s="1"/>
  <c r="H819" i="20"/>
  <c r="I819" i="20" s="1"/>
  <c r="H766" i="20"/>
  <c r="I766" i="20" s="1"/>
  <c r="H390" i="20"/>
  <c r="I390" i="20" s="1"/>
  <c r="H286" i="20"/>
  <c r="I286" i="20" s="1"/>
  <c r="H326" i="20"/>
  <c r="I326" i="20" s="1"/>
  <c r="H839" i="20"/>
  <c r="I839" i="20" s="1"/>
  <c r="H334" i="20"/>
  <c r="I334" i="20" s="1"/>
  <c r="H831" i="20"/>
  <c r="I831" i="20" s="1"/>
  <c r="H575" i="20"/>
  <c r="I575" i="20" s="1"/>
  <c r="H1093" i="20"/>
  <c r="I1093" i="20" s="1"/>
  <c r="H935" i="20"/>
  <c r="I935" i="20" s="1"/>
  <c r="H1389" i="20"/>
  <c r="I1389" i="20" s="1"/>
  <c r="H384" i="20"/>
  <c r="I384" i="20" s="1"/>
  <c r="H923" i="20"/>
  <c r="I923" i="20" s="1"/>
  <c r="H562" i="20"/>
  <c r="I562" i="20" s="1"/>
  <c r="H297" i="20"/>
  <c r="I297" i="20" s="1"/>
  <c r="H374" i="20"/>
  <c r="I374" i="20" s="1"/>
  <c r="H1383" i="20"/>
  <c r="I1383" i="20" s="1"/>
  <c r="H605" i="20"/>
  <c r="I605" i="20" s="1"/>
  <c r="H956" i="20"/>
  <c r="I956" i="20" s="1"/>
  <c r="H399" i="20"/>
  <c r="I399" i="20" s="1"/>
  <c r="H195" i="20"/>
  <c r="I195" i="20" s="1"/>
  <c r="H854" i="20"/>
  <c r="I854" i="20" s="1"/>
  <c r="H156" i="20"/>
  <c r="I156" i="20" s="1"/>
  <c r="H1112" i="20"/>
  <c r="I1112" i="20" s="1"/>
  <c r="H1324" i="20"/>
  <c r="I1324" i="20" s="1"/>
  <c r="H1205" i="20"/>
  <c r="I1205" i="20" s="1"/>
  <c r="H1191" i="20"/>
  <c r="I1191" i="20" s="1"/>
  <c r="H1309" i="20"/>
  <c r="I1309" i="20" s="1"/>
  <c r="H664" i="20"/>
  <c r="I664" i="20" s="1"/>
  <c r="H1130" i="20"/>
  <c r="I1130" i="20" s="1"/>
  <c r="H934" i="20"/>
  <c r="I934" i="20" s="1"/>
  <c r="H469" i="20"/>
  <c r="H379" i="20"/>
  <c r="I379" i="20" s="1"/>
  <c r="H316" i="20"/>
  <c r="I316" i="20" s="1"/>
  <c r="H1319" i="20"/>
  <c r="I1319" i="20" s="1"/>
  <c r="H869" i="20"/>
  <c r="I869" i="20" s="1"/>
  <c r="H586" i="20"/>
  <c r="I586" i="20" s="1"/>
  <c r="H928" i="20"/>
  <c r="I928" i="20" s="1"/>
  <c r="H1384" i="20"/>
  <c r="I1384" i="20" s="1"/>
  <c r="H770" i="20"/>
  <c r="I770" i="20" s="1"/>
  <c r="H512" i="20"/>
  <c r="I512" i="20" s="1"/>
  <c r="H415" i="20"/>
  <c r="I415" i="20" s="1"/>
  <c r="H1135" i="20"/>
  <c r="I1135" i="20" s="1"/>
  <c r="H694" i="20"/>
  <c r="I694" i="20" s="1"/>
  <c r="H322" i="20"/>
  <c r="I322" i="20" s="1"/>
  <c r="H549" i="20"/>
  <c r="I549" i="20" s="1"/>
  <c r="H1115" i="20"/>
  <c r="I1115" i="20" s="1"/>
  <c r="H504" i="20"/>
  <c r="I504" i="20" s="1"/>
  <c r="H407" i="20"/>
  <c r="I407" i="20" s="1"/>
  <c r="H731" i="20"/>
  <c r="I731" i="20" s="1"/>
  <c r="H480" i="20"/>
  <c r="I480" i="20" s="1"/>
  <c r="H1041" i="20"/>
  <c r="I1041" i="20" s="1"/>
  <c r="H339" i="20"/>
  <c r="I339" i="20" s="1"/>
  <c r="H397" i="20"/>
  <c r="I397" i="20" s="1"/>
  <c r="H1053" i="20"/>
  <c r="I1053" i="20" s="1"/>
  <c r="H1296" i="20"/>
  <c r="I1296" i="20" s="1"/>
  <c r="H394" i="20"/>
  <c r="I394" i="20" s="1"/>
  <c r="H197" i="20"/>
  <c r="I197" i="20" s="1"/>
  <c r="H1032" i="20"/>
  <c r="I1032" i="20" s="1"/>
  <c r="H191" i="20"/>
  <c r="H1279" i="20"/>
  <c r="I1279" i="20" s="1"/>
  <c r="H198" i="20"/>
  <c r="I198" i="20" s="1"/>
  <c r="H924" i="20"/>
  <c r="I924" i="20" s="1"/>
  <c r="H305" i="20"/>
  <c r="I305" i="20" s="1"/>
  <c r="H910" i="20"/>
  <c r="I910" i="20" s="1"/>
  <c r="H159" i="20"/>
  <c r="I159" i="20" s="1"/>
  <c r="H514" i="20"/>
  <c r="I514" i="20" s="1"/>
  <c r="H1308" i="20"/>
  <c r="I1308" i="20" s="1"/>
  <c r="H302" i="20"/>
  <c r="I302" i="20" s="1"/>
  <c r="H1217" i="20"/>
  <c r="I1217" i="20" s="1"/>
  <c r="H755" i="20"/>
  <c r="I755" i="20" s="1"/>
  <c r="H1271" i="20"/>
  <c r="I1271" i="20" s="1"/>
  <c r="H1113" i="20"/>
  <c r="I1113" i="20" s="1"/>
  <c r="H115" i="20"/>
  <c r="H153" i="20"/>
  <c r="I153" i="20" s="1"/>
  <c r="H820" i="20"/>
  <c r="I820" i="20" s="1"/>
  <c r="H206" i="20"/>
  <c r="I206" i="20" s="1"/>
  <c r="H867" i="20"/>
  <c r="I867" i="20" s="1"/>
  <c r="H958" i="20"/>
  <c r="I958" i="20" s="1"/>
  <c r="H1314" i="20"/>
  <c r="I1314" i="20" s="1"/>
  <c r="H1206" i="20"/>
  <c r="I1206" i="20" s="1"/>
  <c r="H466" i="20"/>
  <c r="I466" i="20" s="1"/>
  <c r="H952" i="20"/>
  <c r="I952" i="20" s="1"/>
  <c r="H129" i="20"/>
  <c r="I129" i="20" s="1"/>
  <c r="H602" i="20"/>
  <c r="I602" i="20" s="1"/>
  <c r="H558" i="20"/>
  <c r="H864" i="20"/>
  <c r="I864" i="20" s="1"/>
  <c r="H1025" i="20"/>
  <c r="I1025" i="20" s="1"/>
  <c r="H123" i="20"/>
  <c r="I123" i="20" s="1"/>
  <c r="H1048" i="20"/>
  <c r="I1048" i="20" s="1"/>
  <c r="H738" i="20"/>
  <c r="I738" i="20" s="1"/>
  <c r="H338" i="20"/>
  <c r="I338" i="20" s="1"/>
  <c r="H112" i="20"/>
  <c r="I112" i="20" s="1"/>
  <c r="H1362" i="20"/>
  <c r="I1362" i="20" s="1"/>
  <c r="H939" i="20"/>
  <c r="I939" i="20" s="1"/>
  <c r="H555" i="20"/>
  <c r="I555" i="20" s="1"/>
  <c r="H679" i="20"/>
  <c r="I679" i="20" s="1"/>
  <c r="H783" i="20"/>
  <c r="I783" i="20" s="1"/>
  <c r="H729" i="20"/>
  <c r="I729" i="20" s="1"/>
  <c r="H393" i="20"/>
  <c r="I393" i="20" s="1"/>
  <c r="H559" i="20"/>
  <c r="I559" i="20" s="1"/>
  <c r="H1134" i="20"/>
  <c r="I1134" i="20" s="1"/>
  <c r="H827" i="20"/>
  <c r="I827" i="20" s="1"/>
  <c r="H285" i="20"/>
  <c r="I285" i="20" s="1"/>
  <c r="H857" i="20"/>
  <c r="I857" i="20" s="1"/>
  <c r="H1398" i="20"/>
  <c r="I1398" i="20" s="1"/>
  <c r="H1396" i="20"/>
  <c r="I1396" i="20" s="1"/>
  <c r="H1357" i="20"/>
  <c r="H1043" i="20"/>
  <c r="I1043" i="20" s="1"/>
  <c r="H644" i="20"/>
  <c r="I644" i="20" s="1"/>
  <c r="H823" i="20"/>
  <c r="I823" i="20" s="1"/>
  <c r="H330" i="20"/>
  <c r="I330" i="20" s="1"/>
  <c r="H1109" i="20"/>
  <c r="I1109" i="20" s="1"/>
  <c r="H1290" i="20"/>
  <c r="I1290" i="20" s="1"/>
  <c r="H1361" i="20"/>
  <c r="I1361" i="20" s="1"/>
  <c r="H1146" i="20"/>
  <c r="I1146" i="20" s="1"/>
  <c r="H768" i="20"/>
  <c r="I768" i="20" s="1"/>
  <c r="H596" i="20"/>
  <c r="I596" i="20" s="1"/>
  <c r="H506" i="20"/>
  <c r="I506" i="20" s="1"/>
  <c r="H389" i="20"/>
  <c r="I389" i="20" s="1"/>
  <c r="H418" i="20"/>
  <c r="I418" i="20" s="1"/>
  <c r="H517" i="20"/>
  <c r="I517" i="20" s="1"/>
  <c r="H1089" i="20"/>
  <c r="H847" i="20"/>
  <c r="I847" i="20" s="1"/>
  <c r="H858" i="20"/>
  <c r="I858" i="20" s="1"/>
  <c r="H1197" i="20"/>
  <c r="I1197" i="20" s="1"/>
  <c r="H295" i="20"/>
  <c r="I295" i="20" s="1"/>
  <c r="H1393" i="20"/>
  <c r="I1393" i="20" s="1"/>
  <c r="H1372" i="20"/>
  <c r="I1372" i="20" s="1"/>
  <c r="H606" i="20"/>
  <c r="I606" i="20" s="1"/>
  <c r="H772" i="20"/>
  <c r="I772" i="20" s="1"/>
  <c r="H563" i="20"/>
  <c r="I563" i="20" s="1"/>
  <c r="H192" i="20"/>
  <c r="I192" i="20" s="1"/>
  <c r="H158" i="20"/>
  <c r="I158" i="20" s="1"/>
  <c r="H913" i="20"/>
  <c r="I913" i="20" s="1"/>
  <c r="H1274" i="20"/>
  <c r="I1274" i="20" s="1"/>
  <c r="H1017" i="20"/>
  <c r="I1017" i="20" s="1"/>
  <c r="H672" i="20"/>
  <c r="I672" i="20" s="1"/>
  <c r="H378" i="20"/>
  <c r="I378" i="20" s="1"/>
  <c r="H583" i="20"/>
  <c r="I583" i="20" s="1"/>
  <c r="H676" i="20"/>
  <c r="I676" i="20" s="1"/>
  <c r="H1136" i="20"/>
  <c r="I1136" i="20" s="1"/>
  <c r="H292" i="20"/>
  <c r="I292" i="20" s="1"/>
  <c r="H870" i="20"/>
  <c r="I870" i="20" s="1"/>
  <c r="H194" i="20"/>
  <c r="I194" i="20" s="1"/>
  <c r="H865" i="20"/>
  <c r="I865" i="20" s="1"/>
  <c r="H462" i="20"/>
  <c r="I462" i="20" s="1"/>
  <c r="H1394" i="20"/>
  <c r="I1394" i="20" s="1"/>
  <c r="H387" i="20"/>
  <c r="I387" i="20" s="1"/>
  <c r="H1088" i="20"/>
  <c r="I1088" i="20" s="1"/>
  <c r="H1315" i="20"/>
  <c r="I1315" i="20" s="1"/>
  <c r="H1177" i="20"/>
  <c r="H828" i="20"/>
  <c r="I828" i="20" s="1"/>
  <c r="H1108" i="20"/>
  <c r="I1108" i="20" s="1"/>
  <c r="H207" i="20"/>
  <c r="I207" i="20" s="1"/>
  <c r="H401" i="20"/>
  <c r="I401" i="20" s="1"/>
  <c r="H318" i="20"/>
  <c r="I318" i="20" s="1"/>
  <c r="H584" i="20"/>
  <c r="I584" i="20" s="1"/>
  <c r="H782" i="20"/>
  <c r="I782" i="20" s="1"/>
  <c r="H232" i="20"/>
  <c r="I232" i="20" s="1"/>
  <c r="H200" i="20"/>
  <c r="I200" i="20" s="1"/>
  <c r="H749" i="20"/>
  <c r="I749" i="20" s="1"/>
  <c r="H1385" i="20"/>
  <c r="I1385" i="20" s="1"/>
  <c r="H382" i="20"/>
  <c r="I382" i="20" s="1"/>
  <c r="H850" i="20"/>
  <c r="I850" i="20" s="1"/>
  <c r="H943" i="20"/>
  <c r="I943" i="20" s="1"/>
  <c r="H1141" i="20"/>
  <c r="I1141" i="20" s="1"/>
  <c r="H732" i="20"/>
  <c r="I732" i="20" s="1"/>
  <c r="H1116" i="20"/>
  <c r="I1116" i="20" s="1"/>
  <c r="H1358" i="20"/>
  <c r="I1358" i="20" s="1"/>
  <c r="H301" i="20"/>
  <c r="I301" i="20" s="1"/>
  <c r="H927" i="20"/>
  <c r="I927" i="20" s="1"/>
  <c r="H964" i="20"/>
  <c r="I964" i="20" s="1"/>
  <c r="H736" i="20"/>
  <c r="H1216" i="20"/>
  <c r="I1216" i="20" s="1"/>
  <c r="H510" i="20"/>
  <c r="I510" i="20" s="1"/>
  <c r="H1223" i="20"/>
  <c r="I1223" i="20" s="1"/>
  <c r="H726" i="20"/>
  <c r="H1323" i="20"/>
  <c r="I1323" i="20" s="1"/>
  <c r="H1382" i="20"/>
  <c r="I1382" i="20" s="1"/>
  <c r="H414" i="20"/>
  <c r="I414" i="20" s="1"/>
  <c r="H227" i="20"/>
  <c r="I227" i="20" s="1"/>
  <c r="H463" i="20"/>
  <c r="I463" i="20" s="1"/>
  <c r="H763" i="20"/>
  <c r="I763" i="20" s="1"/>
  <c r="H1363" i="20"/>
  <c r="I1363" i="20" s="1"/>
  <c r="H937" i="20"/>
  <c r="I937" i="20" s="1"/>
  <c r="H777" i="20"/>
  <c r="I777" i="20" s="1"/>
  <c r="H818" i="20"/>
  <c r="I818" i="20" s="1"/>
  <c r="H655" i="20"/>
  <c r="I655" i="20" s="1"/>
  <c r="H376" i="20"/>
  <c r="I376" i="20" s="1"/>
  <c r="H287" i="20"/>
  <c r="I287" i="20" s="1"/>
  <c r="H209" i="20"/>
  <c r="I209" i="20" s="1"/>
  <c r="H1397" i="20"/>
  <c r="I1397" i="20" s="1"/>
  <c r="H1194" i="20"/>
  <c r="I1194" i="20" s="1"/>
  <c r="H780" i="20"/>
  <c r="I780" i="20" s="1"/>
  <c r="H1190" i="20"/>
  <c r="I1190" i="20" s="1"/>
  <c r="H243" i="20"/>
  <c r="I243" i="20" s="1"/>
  <c r="H853" i="20"/>
  <c r="I853" i="20" s="1"/>
  <c r="H689" i="20"/>
  <c r="I689" i="20" s="1"/>
  <c r="H416" i="20"/>
  <c r="I416" i="20" s="1"/>
  <c r="H475" i="20"/>
  <c r="I475" i="20" s="1"/>
  <c r="H576" i="20"/>
  <c r="I576" i="20" s="1"/>
  <c r="H1144" i="20"/>
  <c r="I1144" i="20" s="1"/>
  <c r="H1377" i="20"/>
  <c r="I1377" i="20" s="1"/>
  <c r="H688" i="20"/>
  <c r="I688" i="20" s="1"/>
  <c r="H566" i="20"/>
  <c r="I566" i="20" s="1"/>
  <c r="H1035" i="20"/>
  <c r="I1035" i="20" s="1"/>
  <c r="H1129" i="20"/>
  <c r="I1129" i="20" s="1"/>
  <c r="H603" i="20"/>
  <c r="I603" i="20" s="1"/>
  <c r="H208" i="20"/>
  <c r="I208" i="20" s="1"/>
  <c r="H941" i="20"/>
  <c r="I941" i="20" s="1"/>
  <c r="H641" i="20"/>
  <c r="I641" i="20" s="1"/>
  <c r="H324" i="20"/>
  <c r="I324" i="20" s="1"/>
  <c r="H560" i="20"/>
  <c r="I560" i="20" s="1"/>
  <c r="H568" i="20"/>
  <c r="I568" i="20" s="1"/>
  <c r="H1380" i="20"/>
  <c r="I1380" i="20" s="1"/>
  <c r="H557" i="20"/>
  <c r="I557" i="20" s="1"/>
  <c r="H1318" i="20"/>
  <c r="I1318" i="20" s="1"/>
  <c r="H130" i="20"/>
  <c r="I130" i="20" s="1"/>
  <c r="H369" i="20"/>
  <c r="H921" i="20"/>
  <c r="I921" i="20" s="1"/>
  <c r="H1219" i="20"/>
  <c r="I1219" i="20" s="1"/>
  <c r="H306" i="20"/>
  <c r="I306" i="20" s="1"/>
  <c r="H1038" i="20"/>
  <c r="I1038" i="20" s="1"/>
  <c r="H120" i="20"/>
  <c r="I120" i="20" s="1"/>
  <c r="H1029" i="20"/>
  <c r="I1029" i="20" s="1"/>
  <c r="H1133" i="20"/>
  <c r="I1133" i="20" s="1"/>
  <c r="H748" i="20"/>
  <c r="I748" i="20" s="1"/>
  <c r="H294" i="20"/>
  <c r="I294" i="20" s="1"/>
  <c r="H102" i="20"/>
  <c r="I102" i="20" s="1"/>
  <c r="H1007" i="20"/>
  <c r="I1007" i="20" s="1"/>
  <c r="H1233" i="20"/>
  <c r="I1233" i="20" s="1"/>
  <c r="H398" i="20"/>
  <c r="I398" i="20" s="1"/>
  <c r="H151" i="20"/>
  <c r="I151" i="20" s="1"/>
  <c r="H136" i="20"/>
  <c r="I136" i="20" s="1"/>
  <c r="H246" i="20"/>
  <c r="I246" i="20" s="1"/>
  <c r="H906" i="20"/>
  <c r="H781" i="20"/>
  <c r="I781" i="20" s="1"/>
  <c r="H106" i="20"/>
  <c r="I106" i="20" s="1"/>
  <c r="H492" i="20"/>
  <c r="I492" i="20" s="1"/>
  <c r="H221" i="20"/>
  <c r="I221" i="20" s="1"/>
  <c r="H119" i="20"/>
  <c r="I119" i="20" s="1"/>
  <c r="H250" i="20"/>
  <c r="I250" i="20" s="1"/>
  <c r="H1178" i="20"/>
  <c r="I1178" i="20" s="1"/>
  <c r="H826" i="20"/>
  <c r="I826" i="20" s="1"/>
  <c r="H323" i="20"/>
  <c r="I323" i="20" s="1"/>
  <c r="H601" i="20"/>
  <c r="I601" i="20" s="1"/>
  <c r="H1105" i="20"/>
  <c r="I1105" i="20" s="1"/>
  <c r="H222" i="20"/>
  <c r="I222" i="20" s="1"/>
  <c r="H999" i="20"/>
  <c r="I999" i="20" s="1"/>
  <c r="H1302" i="20"/>
  <c r="I1302" i="20" s="1"/>
  <c r="H645" i="20"/>
  <c r="I645" i="20" s="1"/>
  <c r="H911" i="20"/>
  <c r="I911" i="20" s="1"/>
  <c r="H157" i="20"/>
  <c r="I157" i="20" s="1"/>
  <c r="H1181" i="20"/>
  <c r="I1181" i="20" s="1"/>
  <c r="H907" i="20"/>
  <c r="I907" i="20" s="1"/>
  <c r="H571" i="20"/>
  <c r="I571" i="20" s="1"/>
  <c r="H1373" i="20"/>
  <c r="I1373" i="20" s="1"/>
  <c r="H917" i="20"/>
  <c r="I917" i="20" s="1"/>
  <c r="H476" i="20"/>
  <c r="I476" i="20" s="1"/>
  <c r="H1370" i="20"/>
  <c r="I1370" i="20" s="1"/>
  <c r="H1196" i="20"/>
  <c r="I1196" i="20" s="1"/>
  <c r="H866" i="20"/>
  <c r="I866" i="20" s="1"/>
  <c r="H381" i="20"/>
  <c r="H580" i="20"/>
  <c r="I580" i="20" s="1"/>
  <c r="H1143" i="20"/>
  <c r="I1143" i="20" s="1"/>
  <c r="H1044" i="20"/>
  <c r="I1044" i="20" s="1"/>
  <c r="H213" i="20"/>
  <c r="I213" i="20" s="1"/>
  <c r="H589" i="20"/>
  <c r="I589" i="20" s="1"/>
  <c r="H1321" i="20"/>
  <c r="I1321" i="20" s="1"/>
  <c r="H959" i="20"/>
  <c r="I959" i="20" s="1"/>
  <c r="H152" i="20"/>
  <c r="I152" i="20" s="1"/>
  <c r="H205" i="20"/>
  <c r="I205" i="20" s="1"/>
  <c r="H110" i="20"/>
  <c r="I110" i="20" s="1"/>
  <c r="H211" i="20"/>
  <c r="I211" i="20" s="1"/>
  <c r="H815" i="20"/>
  <c r="H137" i="20"/>
  <c r="I137" i="20" s="1"/>
  <c r="H1316" i="20"/>
  <c r="I1316" i="20" s="1"/>
  <c r="H920" i="20"/>
  <c r="I920" i="20" s="1"/>
  <c r="H1210" i="20"/>
  <c r="I1210" i="20" s="1"/>
  <c r="H1052" i="20"/>
  <c r="I1052" i="20" s="1"/>
  <c r="H754" i="20"/>
  <c r="I754" i="20" s="1"/>
  <c r="H470" i="20"/>
  <c r="I470" i="20" s="1"/>
  <c r="H298" i="20"/>
  <c r="I298" i="20" s="1"/>
  <c r="H142" i="20"/>
  <c r="I142" i="20" s="1"/>
  <c r="H242" i="20"/>
  <c r="I242" i="20" s="1"/>
  <c r="H963" i="20"/>
  <c r="I963" i="20" s="1"/>
  <c r="H419" i="20"/>
  <c r="I419" i="20" s="1"/>
  <c r="H1388" i="20"/>
  <c r="I1388" i="20" s="1"/>
  <c r="H1294" i="20"/>
  <c r="I1294" i="20" s="1"/>
  <c r="H299" i="20"/>
  <c r="I299" i="20" s="1"/>
  <c r="H859" i="20"/>
  <c r="I859" i="20" s="1"/>
  <c r="H1301" i="20"/>
  <c r="I1301" i="20" s="1"/>
  <c r="H949" i="20"/>
  <c r="I949" i="20" s="1"/>
  <c r="H1282" i="20"/>
  <c r="I1282" i="20" s="1"/>
  <c r="H507" i="20"/>
  <c r="I507" i="20" s="1"/>
  <c r="H1094" i="20"/>
  <c r="I1094" i="20" s="1"/>
  <c r="H951" i="20"/>
  <c r="I951" i="20" s="1"/>
  <c r="H778" i="20"/>
  <c r="I778" i="20" s="1"/>
  <c r="H553" i="20"/>
  <c r="I553" i="20" s="1"/>
  <c r="H638" i="20"/>
  <c r="I638" i="20" s="1"/>
  <c r="H479" i="20"/>
  <c r="I479" i="20" s="1"/>
  <c r="H1222" i="20"/>
  <c r="I1222" i="20" s="1"/>
  <c r="H684" i="20"/>
  <c r="I684" i="20" s="1"/>
  <c r="H750" i="20"/>
  <c r="I750" i="20" s="1"/>
  <c r="H1145" i="20"/>
  <c r="I1145" i="20" s="1"/>
  <c r="H830" i="20"/>
  <c r="I830" i="20" s="1"/>
  <c r="H915" i="20"/>
  <c r="I915" i="20" s="1"/>
  <c r="H1371" i="20"/>
  <c r="I1371" i="20" s="1"/>
  <c r="H1313" i="20"/>
  <c r="I1313" i="20" s="1"/>
  <c r="H505" i="20"/>
  <c r="I505" i="20" s="1"/>
  <c r="H386" i="20"/>
  <c r="I386" i="20" s="1"/>
  <c r="H238" i="20"/>
  <c r="I238" i="20" s="1"/>
  <c r="H775" i="20"/>
  <c r="I775" i="20" s="1"/>
  <c r="H107" i="20"/>
  <c r="I107" i="20" s="1"/>
  <c r="H744" i="20"/>
  <c r="I744" i="20" s="1"/>
  <c r="H841" i="20"/>
  <c r="I841" i="20" s="1"/>
  <c r="H1366" i="20"/>
  <c r="I1366" i="20" s="1"/>
  <c r="H567" i="20"/>
  <c r="I567" i="20" s="1"/>
  <c r="H1124" i="20"/>
  <c r="I1124" i="20" s="1"/>
  <c r="H1012" i="20"/>
  <c r="I1012" i="20" s="1"/>
  <c r="H503" i="20"/>
  <c r="I503" i="20" s="1"/>
  <c r="H590" i="20"/>
  <c r="I590" i="20" s="1"/>
  <c r="H761" i="20"/>
  <c r="I761" i="20" s="1"/>
  <c r="H404" i="20"/>
  <c r="I404" i="20" s="1"/>
  <c r="H220" i="20"/>
  <c r="I220" i="20" s="1"/>
  <c r="H1120" i="20"/>
  <c r="I1120" i="20" s="1"/>
  <c r="H693" i="20"/>
  <c r="I693" i="20" s="1"/>
  <c r="H244" i="20"/>
  <c r="I244" i="20" s="1"/>
  <c r="H1033" i="20"/>
  <c r="I1033" i="20" s="1"/>
  <c r="H223" i="20"/>
  <c r="I223" i="20" s="1"/>
  <c r="H1270" i="20"/>
  <c r="I1270" i="20" s="1"/>
  <c r="H769" i="20"/>
  <c r="I769" i="20" s="1"/>
  <c r="H834" i="20"/>
  <c r="I834" i="20" s="1"/>
  <c r="H650" i="20"/>
  <c r="I650" i="20" s="1"/>
  <c r="H1209" i="20"/>
  <c r="I1209" i="20" s="1"/>
  <c r="H860" i="20"/>
  <c r="I860" i="20" s="1"/>
  <c r="H658" i="20"/>
  <c r="I658" i="20" s="1"/>
  <c r="H421" i="20"/>
  <c r="I421" i="20" s="1"/>
  <c r="H961" i="20"/>
  <c r="I961" i="20" s="1"/>
  <c r="H226" i="20"/>
  <c r="I226" i="20" s="1"/>
  <c r="H1126" i="20"/>
  <c r="I1126" i="20" s="1"/>
  <c r="H481" i="20"/>
  <c r="I481" i="20" s="1"/>
  <c r="H420" i="20"/>
  <c r="I420" i="20" s="1"/>
  <c r="H643" i="20"/>
  <c r="I643" i="20" s="1"/>
  <c r="H824" i="20"/>
  <c r="H134" i="20"/>
  <c r="I134" i="20" s="1"/>
  <c r="H587" i="20"/>
  <c r="I587" i="20" s="1"/>
  <c r="H1212" i="20"/>
  <c r="I1212" i="20" s="1"/>
  <c r="H1220" i="20"/>
  <c r="I1220" i="20" s="1"/>
  <c r="H696" i="20"/>
  <c r="I696" i="20" s="1"/>
  <c r="H1103" i="20"/>
  <c r="I1103" i="20" s="1"/>
  <c r="H281" i="20"/>
  <c r="I281" i="20" s="1"/>
  <c r="H224" i="20"/>
  <c r="I224" i="20" s="1"/>
  <c r="H1369" i="20"/>
  <c r="I1369" i="20" s="1"/>
  <c r="H494" i="20"/>
  <c r="I494" i="20" s="1"/>
  <c r="H945" i="20"/>
  <c r="I945" i="20" s="1"/>
  <c r="H422" i="20"/>
  <c r="I422" i="20" s="1"/>
  <c r="H1200" i="20"/>
  <c r="I1200" i="20" s="1"/>
  <c r="H380" i="20"/>
  <c r="I380" i="20" s="1"/>
  <c r="H1311" i="20"/>
  <c r="I1311" i="20" s="1"/>
  <c r="H817" i="20"/>
  <c r="I817" i="20" s="1"/>
  <c r="H400" i="20"/>
  <c r="I400" i="20" s="1"/>
  <c r="H1295" i="20"/>
  <c r="I1295" i="20" s="1"/>
  <c r="H730" i="20"/>
  <c r="I730" i="20" s="1"/>
  <c r="H403" i="20"/>
  <c r="I403" i="20" s="1"/>
  <c r="H108" i="20"/>
  <c r="I108" i="20" s="1"/>
  <c r="H737" i="20"/>
  <c r="I737" i="20" s="1"/>
  <c r="H570" i="20"/>
  <c r="I570" i="20" s="1"/>
  <c r="H1304" i="20"/>
  <c r="I1304" i="20" s="1"/>
  <c r="H691" i="20"/>
  <c r="I691" i="20" s="1"/>
  <c r="H1277" i="20"/>
  <c r="I1277" i="20" s="1"/>
  <c r="H953" i="20"/>
  <c r="I953" i="20" s="1"/>
  <c r="H1107" i="20"/>
  <c r="I1107" i="20" s="1"/>
  <c r="H1214" i="20"/>
  <c r="I1214" i="20" s="1"/>
  <c r="H960" i="20"/>
  <c r="I960" i="20" s="1"/>
  <c r="H1050" i="20"/>
  <c r="I1050" i="20" s="1"/>
  <c r="H554" i="20"/>
  <c r="I554" i="20" s="1"/>
  <c r="H1192" i="20"/>
  <c r="I1192" i="20" s="1"/>
  <c r="H1360" i="20"/>
  <c r="I1360" i="20" s="1"/>
  <c r="H300" i="20"/>
  <c r="I300" i="20" s="1"/>
  <c r="H573" i="20"/>
  <c r="I573" i="20" s="1"/>
  <c r="H1049" i="20"/>
  <c r="I1049" i="20" s="1"/>
  <c r="H1003" i="20"/>
  <c r="I1003" i="20" s="1"/>
  <c r="H592" i="20"/>
  <c r="I592" i="20" s="1"/>
  <c r="H459" i="20"/>
  <c r="H408" i="20"/>
  <c r="I408" i="20" s="1"/>
  <c r="H1218" i="20"/>
  <c r="I1218" i="20" s="1"/>
  <c r="H304" i="20"/>
  <c r="I304" i="20" s="1"/>
  <c r="H955" i="20"/>
  <c r="I955" i="20" s="1"/>
  <c r="H685" i="20"/>
  <c r="I685" i="20" s="1"/>
  <c r="H410" i="20"/>
  <c r="I410" i="20" s="1"/>
  <c r="H1204" i="20"/>
  <c r="I1204" i="20" s="1"/>
  <c r="H395" i="20"/>
  <c r="I395" i="20" s="1"/>
  <c r="H1202" i="20"/>
  <c r="I1202" i="20" s="1"/>
  <c r="H843" i="20"/>
  <c r="I843" i="20" s="1"/>
  <c r="H145" i="20"/>
  <c r="I145" i="20" s="1"/>
  <c r="H114" i="20"/>
  <c r="I114" i="20" s="1"/>
  <c r="H593" i="20"/>
  <c r="I593" i="20" s="1"/>
  <c r="H962" i="20"/>
  <c r="I962" i="20" s="1"/>
  <c r="H511" i="20"/>
  <c r="I511" i="20" s="1"/>
  <c r="H1272" i="20"/>
  <c r="I1272" i="20" s="1"/>
  <c r="H661" i="20"/>
  <c r="I661" i="20" s="1"/>
  <c r="H757" i="20"/>
  <c r="I757" i="20" s="1"/>
  <c r="H1307" i="20"/>
  <c r="I1307" i="20" s="1"/>
  <c r="H371" i="20"/>
  <c r="I371" i="20" s="1"/>
  <c r="H1036" i="20"/>
  <c r="I1036" i="20" s="1"/>
  <c r="H1128" i="20"/>
  <c r="I1128" i="20" s="1"/>
  <c r="H848" i="20"/>
  <c r="I848" i="20" s="1"/>
  <c r="H126" i="20"/>
  <c r="I126" i="20" s="1"/>
  <c r="H1359" i="20"/>
  <c r="I1359" i="20" s="1"/>
  <c r="H565" i="20"/>
  <c r="I565" i="20" s="1"/>
  <c r="H1185" i="20"/>
  <c r="I1185" i="20" s="1"/>
  <c r="H499" i="20"/>
  <c r="I499" i="20" s="1"/>
  <c r="H871" i="20"/>
  <c r="I871" i="20" s="1"/>
  <c r="H1273" i="20"/>
  <c r="I1273" i="20" s="1"/>
  <c r="H1325" i="20"/>
  <c r="I1325" i="20" s="1"/>
  <c r="H144" i="20"/>
  <c r="I144" i="20" s="1"/>
  <c r="H237" i="20"/>
  <c r="I237" i="20" s="1"/>
  <c r="H333" i="20"/>
  <c r="I333" i="20" s="1"/>
  <c r="H236" i="20"/>
  <c r="I236" i="20" s="1"/>
  <c r="H594" i="20"/>
  <c r="I594" i="20" s="1"/>
  <c r="H101" i="20"/>
  <c r="H950" i="20"/>
  <c r="I950" i="20" s="1"/>
  <c r="H1132" i="20"/>
  <c r="I1132" i="20" s="1"/>
  <c r="H113" i="20"/>
  <c r="I113" i="20" s="1"/>
  <c r="H307" i="20"/>
  <c r="I307" i="20" s="1"/>
  <c r="H478" i="20"/>
  <c r="I478" i="20" s="1"/>
  <c r="H1368" i="20"/>
  <c r="I1368" i="20" s="1"/>
  <c r="H1284" i="20"/>
  <c r="I1284" i="20" s="1"/>
  <c r="H1118" i="20"/>
  <c r="I1118" i="20" s="1"/>
  <c r="H734" i="20"/>
  <c r="I734" i="20" s="1"/>
  <c r="H675" i="20"/>
  <c r="I675" i="20" s="1"/>
  <c r="H1378" i="20"/>
  <c r="I1378" i="20" s="1"/>
  <c r="H742" i="20"/>
  <c r="I742" i="20" s="1"/>
  <c r="H465" i="20"/>
  <c r="I465" i="20" s="1"/>
  <c r="H695" i="20"/>
  <c r="I695" i="20" s="1"/>
  <c r="H245" i="20"/>
  <c r="I245" i="20" s="1"/>
  <c r="H485" i="20"/>
  <c r="I485" i="20" s="1"/>
  <c r="H637" i="20"/>
  <c r="H409" i="20"/>
  <c r="I409" i="20" s="1"/>
  <c r="H1018" i="20"/>
  <c r="I1018" i="20" s="1"/>
  <c r="H686" i="20"/>
  <c r="I686" i="20" s="1"/>
  <c r="H673" i="20"/>
  <c r="I673" i="20" s="1"/>
  <c r="H375" i="20"/>
  <c r="I375" i="20" s="1"/>
  <c r="H1019" i="20"/>
  <c r="I1019" i="20" s="1"/>
  <c r="H328" i="20"/>
  <c r="I328" i="20" s="1"/>
  <c r="H1235" i="20"/>
  <c r="I1235" i="20" s="1"/>
  <c r="H997" i="20"/>
  <c r="H218" i="20"/>
  <c r="I218" i="20" s="1"/>
  <c r="H771" i="20"/>
  <c r="I771" i="20" s="1"/>
  <c r="H1207" i="20"/>
  <c r="I1207" i="20" s="1"/>
  <c r="H370" i="20"/>
  <c r="I370" i="20" s="1"/>
  <c r="H835" i="20"/>
  <c r="I835" i="20" s="1"/>
  <c r="H1303" i="20"/>
  <c r="I1303" i="20" s="1"/>
  <c r="H215" i="20"/>
  <c r="I215" i="20" s="1"/>
  <c r="H474" i="20"/>
  <c r="I474" i="20" s="1"/>
  <c r="H493" i="20"/>
  <c r="I493" i="20" s="1"/>
  <c r="H1236" i="20"/>
  <c r="I1236" i="20" s="1"/>
  <c r="H1232" i="20"/>
  <c r="I1232" i="20" s="1"/>
  <c r="H146" i="20"/>
  <c r="I146" i="20" s="1"/>
  <c r="H1292" i="20"/>
  <c r="I1292" i="20" s="1"/>
  <c r="H1381" i="20"/>
  <c r="I1381" i="20" s="1"/>
  <c r="H290" i="20"/>
  <c r="I290" i="20" s="1"/>
  <c r="H1386" i="20"/>
  <c r="I1386" i="20" s="1"/>
  <c r="H1193" i="20"/>
  <c r="I1193" i="20" s="1"/>
  <c r="H1188" i="20"/>
  <c r="I1188" i="20" s="1"/>
  <c r="H1312" i="20"/>
  <c r="I1312" i="20" s="1"/>
  <c r="H291" i="20"/>
  <c r="I291" i="20" s="1"/>
  <c r="H388" i="20"/>
  <c r="I388" i="20" s="1"/>
  <c r="H104" i="20"/>
  <c r="I104" i="20" s="1"/>
  <c r="H135" i="20"/>
  <c r="I135" i="20" s="1"/>
  <c r="H502" i="20"/>
  <c r="I502" i="20" s="1"/>
  <c r="H1229" i="20"/>
  <c r="I1229" i="20" s="1"/>
  <c r="H335" i="20"/>
  <c r="I335" i="20" s="1"/>
  <c r="H148" i="20"/>
  <c r="I148" i="20" s="1"/>
  <c r="H121" i="20"/>
  <c r="I121" i="20" s="1"/>
  <c r="H1024" i="20"/>
  <c r="I1024" i="20" s="1"/>
  <c r="H325" i="20"/>
  <c r="I325" i="20" s="1"/>
  <c r="H423" i="20"/>
  <c r="I423" i="20" s="1"/>
  <c r="H846" i="20"/>
  <c r="I846" i="20" s="1"/>
  <c r="H1310" i="20"/>
  <c r="I1310" i="20" s="1"/>
  <c r="H413" i="20"/>
  <c r="I413" i="20" s="1"/>
  <c r="H767" i="20"/>
  <c r="I767" i="20" s="1"/>
  <c r="H1127" i="20"/>
  <c r="I1127" i="20" s="1"/>
  <c r="H501" i="20"/>
  <c r="I501" i="20" s="1"/>
  <c r="H653" i="20"/>
  <c r="I653" i="20" s="1"/>
  <c r="H154" i="20"/>
  <c r="I154" i="20" s="1"/>
  <c r="H1199" i="20"/>
  <c r="I1199" i="20" s="1"/>
  <c r="H933" i="20"/>
  <c r="I933" i="20" s="1"/>
  <c r="H948" i="20"/>
  <c r="I948" i="20" s="1"/>
  <c r="H1014" i="20"/>
  <c r="I1014" i="20" s="1"/>
  <c r="H212" i="20"/>
  <c r="I212" i="20" s="1"/>
  <c r="H578" i="20"/>
  <c r="I578" i="20" s="1"/>
  <c r="H392" i="20"/>
  <c r="I392" i="20" s="1"/>
  <c r="H1364" i="20"/>
  <c r="I1364" i="20" s="1"/>
  <c r="H753" i="20"/>
  <c r="I753" i="20" s="1"/>
  <c r="H1131" i="20"/>
  <c r="I1131" i="20" s="1"/>
  <c r="H922" i="20"/>
  <c r="I922" i="20" s="1"/>
  <c r="H1208" i="20"/>
  <c r="I1208" i="20" s="1"/>
  <c r="H296" i="20"/>
  <c r="I296" i="20" s="1"/>
  <c r="H1228" i="20"/>
  <c r="I1228" i="20" s="1"/>
  <c r="H1187" i="20"/>
  <c r="I1187" i="20" s="1"/>
  <c r="H496" i="20"/>
  <c r="I496" i="20" s="1"/>
  <c r="H128" i="20"/>
  <c r="I128" i="20" s="1"/>
  <c r="H1137" i="20"/>
  <c r="I1137" i="20" s="1"/>
  <c r="H149" i="20"/>
  <c r="I149" i="20" s="1"/>
  <c r="H228" i="20"/>
  <c r="I228" i="20" s="1"/>
  <c r="H1224" i="20"/>
  <c r="I1224" i="20" s="1"/>
  <c r="H833" i="20"/>
  <c r="I833" i="20" s="1"/>
  <c r="H657" i="20"/>
  <c r="I657" i="20" s="1"/>
  <c r="H1267" i="20"/>
  <c r="H912" i="20"/>
  <c r="I912" i="20" s="1"/>
  <c r="H743" i="20"/>
  <c r="I743" i="20" s="1"/>
  <c r="H426" i="20"/>
  <c r="I426" i="20" s="1"/>
  <c r="H428" i="20"/>
  <c r="I428" i="20" s="1"/>
  <c r="H1100" i="20"/>
  <c r="I1100" i="20" s="1"/>
  <c r="H668" i="20"/>
  <c r="I668" i="20" s="1"/>
  <c r="H377" i="20"/>
  <c r="I377" i="20" s="1"/>
  <c r="H373" i="20"/>
  <c r="I373" i="20" s="1"/>
  <c r="H1291" i="20"/>
  <c r="I1291" i="20" s="1"/>
  <c r="H127" i="20"/>
  <c r="I127" i="20" s="1"/>
  <c r="H681" i="20"/>
  <c r="I681" i="20" s="1"/>
  <c r="H581" i="20"/>
  <c r="I581" i="20" s="1"/>
  <c r="H1104" i="20"/>
  <c r="I1104" i="20" s="1"/>
  <c r="H1011" i="20"/>
  <c r="I1011" i="20" s="1"/>
  <c r="H1090" i="20"/>
  <c r="I1090" i="20" s="1"/>
  <c r="H1287" i="20"/>
  <c r="I1287" i="20" s="1"/>
  <c r="H751" i="20"/>
  <c r="I751" i="20" s="1"/>
  <c r="H1289" i="20"/>
  <c r="I1289" i="20" s="1"/>
  <c r="H235" i="20"/>
  <c r="I235" i="20" s="1"/>
  <c r="H1034" i="20"/>
  <c r="I1034" i="20" s="1"/>
  <c r="H229" i="20"/>
  <c r="I229" i="20" s="1"/>
  <c r="H509" i="20"/>
  <c r="I509" i="20" s="1"/>
  <c r="H490" i="20"/>
  <c r="I490" i="20" s="1"/>
  <c r="H816" i="20"/>
  <c r="I816" i="20" s="1"/>
  <c r="H283" i="20"/>
  <c r="I283" i="20" s="1"/>
  <c r="H1002" i="20"/>
  <c r="I1002" i="20" s="1"/>
  <c r="H837" i="20"/>
  <c r="I837" i="20" s="1"/>
  <c r="H464" i="20"/>
  <c r="I464" i="20" s="1"/>
  <c r="H1119" i="20"/>
  <c r="I1119" i="20" s="1"/>
  <c r="H1092" i="20"/>
  <c r="I1092" i="20" s="1"/>
  <c r="H942" i="20"/>
  <c r="I942" i="20" s="1"/>
  <c r="H845" i="20"/>
  <c r="I845" i="20" s="1"/>
  <c r="H640" i="20"/>
  <c r="I640" i="20" s="1"/>
  <c r="H1001" i="20"/>
  <c r="H406" i="20"/>
  <c r="I406" i="20" s="1"/>
  <c r="H310" i="20"/>
  <c r="I310" i="20" s="1"/>
  <c r="H329" i="20"/>
  <c r="I329" i="20" s="1"/>
  <c r="H745" i="20"/>
  <c r="I745" i="20" s="1"/>
  <c r="H1046" i="20"/>
  <c r="I1046" i="20" s="1"/>
  <c r="H663" i="20"/>
  <c r="I663" i="20" s="1"/>
  <c r="H666" i="20"/>
  <c r="I666" i="20" s="1"/>
  <c r="H122" i="20"/>
  <c r="I122" i="20" s="1"/>
  <c r="H1278" i="20"/>
  <c r="I1278" i="20" s="1"/>
  <c r="H131" i="20"/>
  <c r="I131" i="20" s="1"/>
  <c r="H1114" i="20"/>
  <c r="I1114" i="20" s="1"/>
  <c r="H600" i="20"/>
  <c r="I600" i="20" s="1"/>
  <c r="H692" i="20"/>
  <c r="I692" i="20" s="1"/>
  <c r="H785" i="20"/>
  <c r="I785" i="20" s="1"/>
  <c r="H471" i="20"/>
  <c r="I471" i="20" s="1"/>
  <c r="H1317" i="20"/>
  <c r="I1317" i="20" s="1"/>
  <c r="H1138" i="20"/>
  <c r="I1138" i="20" s="1"/>
  <c r="H752" i="20"/>
  <c r="I752" i="20" s="1"/>
  <c r="H1221" i="20"/>
  <c r="I1221" i="20" s="1"/>
  <c r="H225" i="20"/>
  <c r="I225" i="20" s="1"/>
  <c r="H665" i="20"/>
  <c r="I665" i="20" s="1"/>
  <c r="H201" i="20"/>
  <c r="I201" i="20" s="1"/>
  <c r="H1367" i="20"/>
  <c r="I1367" i="20" s="1"/>
  <c r="H1300" i="20"/>
  <c r="I1300" i="20" s="1"/>
  <c r="H132" i="20"/>
  <c r="I132" i="20" s="1"/>
  <c r="H1387" i="20"/>
  <c r="I1387" i="20" s="1"/>
  <c r="H548" i="20"/>
  <c r="H1283" i="20"/>
  <c r="I1283" i="20" s="1"/>
  <c r="H321" i="20"/>
  <c r="I321" i="20" s="1"/>
  <c r="H143" i="20"/>
  <c r="I143" i="20" s="1"/>
  <c r="H515" i="20"/>
  <c r="I515" i="20" s="1"/>
  <c r="H579" i="20"/>
  <c r="I579" i="20" s="1"/>
  <c r="H1101" i="20"/>
  <c r="I1101" i="20" s="1"/>
  <c r="H500" i="20"/>
  <c r="I500" i="20" s="1"/>
  <c r="H1226" i="20"/>
  <c r="I1226" i="20" s="1"/>
  <c r="H402" i="20"/>
  <c r="I402" i="20" s="1"/>
  <c r="H116" i="20"/>
  <c r="I116" i="20" s="1"/>
  <c r="H412" i="20"/>
  <c r="I412" i="20" s="1"/>
  <c r="H219" i="20"/>
  <c r="I219" i="20" s="1"/>
  <c r="H1047" i="20"/>
  <c r="I1047" i="20" s="1"/>
  <c r="H1184" i="20"/>
  <c r="I1184" i="20" s="1"/>
  <c r="H1005" i="20"/>
  <c r="I1005" i="20" s="1"/>
  <c r="H674" i="20"/>
  <c r="I674" i="20" s="1"/>
  <c r="H495" i="20"/>
  <c r="I495" i="20" s="1"/>
  <c r="H125" i="20"/>
  <c r="I125" i="20" s="1"/>
  <c r="H678" i="20"/>
  <c r="I678" i="20" s="1"/>
  <c r="H1392" i="20"/>
  <c r="I1392" i="20" s="1"/>
  <c r="H484" i="20"/>
  <c r="I484" i="20" s="1"/>
  <c r="H765" i="20"/>
  <c r="I765" i="20" s="1"/>
  <c r="H241" i="20"/>
  <c r="I241" i="20" s="1"/>
  <c r="H1106" i="20"/>
  <c r="I1106" i="20" s="1"/>
  <c r="H762" i="20"/>
  <c r="I762" i="20" s="1"/>
  <c r="H1021" i="20"/>
  <c r="I1021" i="20" s="1"/>
  <c r="H293" i="20"/>
  <c r="H682" i="20"/>
  <c r="I682" i="20" s="1"/>
  <c r="H662" i="20"/>
  <c r="I662" i="20" s="1"/>
  <c r="H160" i="20"/>
  <c r="I160" i="20" s="1"/>
  <c r="H239" i="20"/>
  <c r="I239" i="20" s="1"/>
  <c r="H852" i="20"/>
  <c r="I852" i="20" s="1"/>
  <c r="H1006" i="20"/>
  <c r="I1006" i="20" s="1"/>
  <c r="H487" i="20"/>
  <c r="I487" i="20" s="1"/>
  <c r="H756" i="20"/>
  <c r="I756" i="20" s="1"/>
  <c r="H660" i="20"/>
  <c r="I660" i="20" s="1"/>
  <c r="H111" i="20"/>
  <c r="I111" i="20" s="1"/>
  <c r="H372" i="20"/>
  <c r="I372" i="20" s="1"/>
  <c r="H460" i="20"/>
  <c r="I460" i="20" s="1"/>
  <c r="H1004" i="20"/>
  <c r="I1004" i="20" s="1"/>
  <c r="H1231" i="20"/>
  <c r="I1231" i="20" s="1"/>
  <c r="H1031" i="20"/>
  <c r="I1031" i="20" s="1"/>
  <c r="H234" i="20"/>
  <c r="I234" i="20" s="1"/>
  <c r="H289" i="20"/>
  <c r="I289" i="20" s="1"/>
  <c r="H117" i="20"/>
  <c r="I117" i="20" s="1"/>
  <c r="H313" i="20"/>
  <c r="I313" i="20" s="1"/>
  <c r="H829" i="20"/>
  <c r="I829" i="20" s="1"/>
  <c r="H1299" i="20"/>
  <c r="I1299" i="20" s="1"/>
  <c r="H572" i="20"/>
  <c r="I572" i="20" s="1"/>
  <c r="H312" i="20"/>
  <c r="I312" i="20" s="1"/>
  <c r="H473" i="20"/>
  <c r="I473" i="20" s="1"/>
  <c r="H282" i="20"/>
  <c r="I282" i="20" s="1"/>
  <c r="H1374" i="20"/>
  <c r="I1374" i="20" s="1"/>
  <c r="H1022" i="20"/>
  <c r="I1022" i="20" s="1"/>
  <c r="H1042" i="20"/>
  <c r="I1042" i="20" s="1"/>
  <c r="H838" i="20"/>
  <c r="I838" i="20" s="1"/>
  <c r="H932" i="20"/>
  <c r="I932" i="20" s="1"/>
  <c r="H1122" i="20"/>
  <c r="I1122" i="20" s="1"/>
  <c r="H411" i="20"/>
  <c r="I411" i="20" s="1"/>
  <c r="H1045" i="20"/>
  <c r="I1045" i="20" s="1"/>
  <c r="H336" i="20"/>
  <c r="I336" i="20" s="1"/>
  <c r="H947" i="20"/>
  <c r="I947" i="20" s="1"/>
  <c r="H124" i="20"/>
  <c r="I124" i="20" s="1"/>
  <c r="H908" i="20"/>
  <c r="I908" i="20" s="1"/>
  <c r="H1182" i="20"/>
  <c r="I1182" i="20" s="1"/>
  <c r="H1180" i="20"/>
  <c r="I1180" i="20" s="1"/>
  <c r="H758" i="20"/>
  <c r="I758" i="20" s="1"/>
  <c r="H1322" i="20"/>
  <c r="I1322" i="20" s="1"/>
  <c r="H1189" i="20"/>
  <c r="I1189" i="20" s="1"/>
  <c r="H909" i="20"/>
  <c r="I909" i="20" s="1"/>
  <c r="H598" i="20"/>
  <c r="I598" i="20" s="1"/>
  <c r="H868" i="20"/>
  <c r="I868" i="20" s="1"/>
  <c r="H1095" i="20"/>
  <c r="I1095" i="20" s="1"/>
  <c r="H918" i="20"/>
  <c r="I918" i="20" s="1"/>
  <c r="H929" i="20"/>
  <c r="I929" i="20" s="1"/>
  <c r="H1230" i="20"/>
  <c r="I1230" i="20" s="1"/>
  <c r="H930" i="20"/>
  <c r="I930" i="20" s="1"/>
  <c r="H639" i="20"/>
  <c r="I639" i="20" s="1"/>
  <c r="H1186" i="20"/>
  <c r="I1186" i="20" s="1"/>
  <c r="H1395" i="20"/>
  <c r="I1395" i="20" s="1"/>
  <c r="H914" i="20"/>
  <c r="I914" i="20" s="1"/>
  <c r="H1087" i="20"/>
  <c r="H1306" i="20"/>
  <c r="I1306" i="20" s="1"/>
  <c r="H486" i="20"/>
  <c r="I486" i="20" s="1"/>
  <c r="H776" i="20"/>
  <c r="I776" i="20" s="1"/>
  <c r="H940" i="20"/>
  <c r="I940" i="20" s="1"/>
  <c r="H1379" i="20"/>
  <c r="I1379" i="20" s="1"/>
  <c r="H1391" i="20"/>
  <c r="I1391" i="20" s="1"/>
  <c r="H513" i="20"/>
  <c r="I513" i="20" s="1"/>
  <c r="H647" i="20"/>
  <c r="H832" i="20"/>
  <c r="I832" i="20" s="1"/>
  <c r="H280" i="20"/>
  <c r="H779" i="20"/>
  <c r="I779" i="20" s="1"/>
  <c r="H477" i="20"/>
  <c r="I477" i="20" s="1"/>
  <c r="H727" i="20"/>
  <c r="I727" i="20" s="1"/>
  <c r="H1285" i="20"/>
  <c r="I1285" i="20" s="1"/>
  <c r="H1390" i="20"/>
  <c r="I1390" i="20" s="1"/>
  <c r="H597" i="20"/>
  <c r="I597" i="20" s="1"/>
  <c r="H1375" i="20"/>
  <c r="I1375" i="20" s="1"/>
  <c r="H1275" i="20"/>
  <c r="I1275" i="20" s="1"/>
  <c r="H1091" i="20"/>
  <c r="I1091" i="20" s="1"/>
  <c r="H508" i="20"/>
  <c r="I508" i="20" s="1"/>
  <c r="H774" i="20"/>
  <c r="I774" i="20" s="1"/>
  <c r="H1027" i="20"/>
  <c r="I1027" i="20" s="1"/>
  <c r="H844" i="20"/>
  <c r="I844" i="20" s="1"/>
  <c r="H233" i="20"/>
  <c r="I233" i="20" s="1"/>
  <c r="H303" i="20"/>
  <c r="I303" i="20" s="1"/>
  <c r="H746" i="20"/>
  <c r="I746" i="20" s="1"/>
  <c r="H1013" i="20"/>
  <c r="I1013" i="20" s="1"/>
  <c r="H599" i="20"/>
  <c r="I599" i="20" s="1"/>
  <c r="H498" i="20"/>
  <c r="I498" i="20" s="1"/>
  <c r="H588" i="20"/>
  <c r="I588" i="20" s="1"/>
  <c r="H315" i="20"/>
  <c r="I315" i="20" s="1"/>
  <c r="H552" i="20"/>
  <c r="I552" i="20" s="1"/>
  <c r="H1099" i="20"/>
  <c r="I1099" i="20" s="1"/>
  <c r="H916" i="20"/>
  <c r="H1298" i="20"/>
  <c r="I1298" i="20" s="1"/>
  <c r="H1234" i="20"/>
  <c r="I1234" i="20" s="1"/>
  <c r="H516" i="20"/>
  <c r="I516" i="20" s="1"/>
  <c r="H861" i="20"/>
  <c r="I861" i="20" s="1"/>
  <c r="H331" i="20"/>
  <c r="I331" i="20" s="1"/>
  <c r="H427" i="20"/>
  <c r="I427" i="20" s="1"/>
  <c r="H140" i="20"/>
  <c r="I140" i="20" s="1"/>
  <c r="H1198" i="20"/>
  <c r="I1198" i="20" s="1"/>
  <c r="H1098" i="20"/>
  <c r="I1098" i="20" s="1"/>
  <c r="H483" i="20"/>
  <c r="I483" i="20" s="1"/>
  <c r="H1269" i="20"/>
  <c r="H320" i="20"/>
  <c r="I320" i="20" s="1"/>
  <c r="H585" i="20"/>
  <c r="I585" i="20" s="1"/>
  <c r="H936" i="20"/>
  <c r="I936" i="20" s="1"/>
  <c r="H604" i="20"/>
  <c r="I604" i="20" s="1"/>
  <c r="H139" i="20"/>
  <c r="I139" i="20" s="1"/>
  <c r="H385" i="20"/>
  <c r="I385" i="20" s="1"/>
  <c r="H199" i="20"/>
  <c r="I199" i="20" s="1"/>
  <c r="H1376" i="20"/>
  <c r="I1376" i="20" s="1"/>
  <c r="H874" i="20"/>
  <c r="I874" i="20" s="1"/>
  <c r="H836" i="20"/>
  <c r="I836" i="20" s="1"/>
  <c r="H482" i="20"/>
  <c r="I482" i="20" s="1"/>
  <c r="H217" i="20"/>
  <c r="I217" i="20" s="1"/>
  <c r="H1215" i="20"/>
  <c r="I1215" i="20" s="1"/>
  <c r="H654" i="20"/>
  <c r="I654" i="20" s="1"/>
  <c r="H649" i="20"/>
  <c r="I649" i="20" s="1"/>
  <c r="H784" i="20"/>
  <c r="I784" i="20" s="1"/>
  <c r="H840" i="20"/>
  <c r="I840" i="20" s="1"/>
  <c r="H872" i="20"/>
  <c r="I872" i="20" s="1"/>
  <c r="H405" i="20"/>
  <c r="I405" i="20" s="1"/>
  <c r="H150" i="20"/>
  <c r="I150" i="20" s="1"/>
  <c r="H383" i="20"/>
  <c r="I383" i="20" s="1"/>
  <c r="H1125" i="20"/>
  <c r="I1125" i="20" s="1"/>
  <c r="H646" i="20"/>
  <c r="I646" i="20" s="1"/>
  <c r="H1203" i="20"/>
  <c r="I1203" i="20" s="1"/>
  <c r="H740" i="20"/>
  <c r="I740" i="20" s="1"/>
  <c r="H926" i="20"/>
  <c r="I926" i="20" s="1"/>
  <c r="H669" i="20"/>
  <c r="I669" i="20" s="1"/>
  <c r="H1276" i="20"/>
  <c r="I1276" i="20" s="1"/>
  <c r="H741" i="20"/>
  <c r="I741" i="20" s="1"/>
  <c r="H1008" i="20"/>
  <c r="I1008" i="20" s="1"/>
  <c r="H1320" i="20"/>
  <c r="I1320" i="20" s="1"/>
  <c r="H1111" i="20"/>
  <c r="I1111" i="20" s="1"/>
  <c r="H1365" i="20"/>
  <c r="I1365" i="20" s="1"/>
  <c r="H327" i="20"/>
  <c r="I327" i="20" s="1"/>
  <c r="H574" i="20"/>
  <c r="I574" i="20" s="1"/>
  <c r="H1297" i="20"/>
  <c r="I1297" i="20" s="1"/>
  <c r="H133" i="20"/>
  <c r="I133" i="20" s="1"/>
  <c r="H518" i="20"/>
  <c r="I518" i="20" s="1"/>
  <c r="H760" i="20"/>
  <c r="I760" i="20" s="1"/>
  <c r="H319" i="20"/>
  <c r="I319" i="20" s="1"/>
  <c r="H105" i="20"/>
  <c r="I105" i="20" s="1"/>
  <c r="H561" i="20"/>
  <c r="I561" i="20" s="1"/>
  <c r="H1110" i="20"/>
  <c r="I1110" i="20" s="1"/>
  <c r="H671" i="20"/>
  <c r="I671" i="20" s="1"/>
  <c r="H1286" i="20"/>
  <c r="I1286" i="20" s="1"/>
  <c r="H214" i="20"/>
  <c r="I214" i="20" s="1"/>
  <c r="H1123" i="20"/>
  <c r="I1123" i="20" s="1"/>
  <c r="H1201" i="20"/>
  <c r="I1201" i="20" s="1"/>
  <c r="H550" i="20"/>
  <c r="I550" i="20" s="1"/>
  <c r="H607" i="20"/>
  <c r="I607" i="20" s="1"/>
  <c r="H424" i="20"/>
  <c r="I424" i="20" s="1"/>
  <c r="H648" i="20"/>
  <c r="I648" i="20" s="1"/>
  <c r="H216" i="20"/>
  <c r="I216" i="20" s="1"/>
  <c r="H998" i="20"/>
  <c r="I998" i="20" s="1"/>
  <c r="H759" i="20"/>
  <c r="I759" i="20" s="1"/>
  <c r="H1010" i="20"/>
  <c r="I1010" i="20" s="1"/>
  <c r="H595" i="20"/>
  <c r="I595" i="20" s="1"/>
  <c r="H1039" i="20"/>
  <c r="I1039" i="20" s="1"/>
  <c r="H651" i="20"/>
  <c r="I651" i="20" s="1"/>
  <c r="H155" i="20"/>
  <c r="I155" i="20" s="1"/>
  <c r="H193" i="20"/>
  <c r="I193" i="20" s="1"/>
  <c r="H1305" i="20"/>
  <c r="I1305" i="20" s="1"/>
  <c r="H472" i="20"/>
  <c r="I472" i="20" s="1"/>
  <c r="H925" i="20"/>
  <c r="I925" i="20" s="1"/>
  <c r="H825" i="20"/>
  <c r="I825" i="20" s="1"/>
  <c r="H670" i="20"/>
  <c r="I670" i="20" s="1"/>
  <c r="H391" i="20"/>
  <c r="I391" i="20" s="1"/>
  <c r="H946" i="20"/>
  <c r="I946" i="20" s="1"/>
  <c r="H1281" i="20"/>
  <c r="I1281" i="20" s="1"/>
  <c r="H747" i="20"/>
  <c r="I747" i="20" s="1"/>
  <c r="H677" i="20"/>
  <c r="I677" i="20" s="1"/>
  <c r="H103" i="20"/>
  <c r="I103" i="20" s="1"/>
  <c r="H863" i="20"/>
  <c r="I863" i="20" s="1"/>
  <c r="H1211" i="20"/>
  <c r="I1211" i="20" s="1"/>
  <c r="H862" i="20"/>
  <c r="I862" i="20" s="1"/>
  <c r="H138" i="20"/>
  <c r="I138" i="20" s="1"/>
  <c r="H210" i="20"/>
  <c r="I210" i="20" s="1"/>
  <c r="H1293" i="20"/>
  <c r="I1293" i="20" s="1"/>
  <c r="H1280" i="20"/>
  <c r="I1280" i="20" s="1"/>
  <c r="H855" i="20"/>
  <c r="I855" i="20" s="1"/>
  <c r="H240" i="20"/>
  <c r="I240" i="20" s="1"/>
  <c r="H1213" i="20"/>
  <c r="I1213" i="20" s="1"/>
  <c r="H1020" i="20"/>
  <c r="I1020" i="20" s="1"/>
  <c r="H957" i="20"/>
  <c r="I957" i="20" s="1"/>
  <c r="H311" i="20"/>
  <c r="I311" i="20" s="1"/>
  <c r="H1268" i="20"/>
  <c r="I1268" i="20" s="1"/>
  <c r="H556" i="20"/>
  <c r="I556" i="20" s="1"/>
  <c r="H577" i="20"/>
  <c r="I577" i="20" s="1"/>
  <c r="H849" i="20"/>
  <c r="I849" i="20" s="1"/>
  <c r="H591" i="20"/>
  <c r="I591" i="20" s="1"/>
  <c r="H1015" i="20"/>
  <c r="I1015" i="20" s="1"/>
  <c r="H642" i="20"/>
  <c r="I642" i="20" s="1"/>
  <c r="H1195" i="20"/>
  <c r="I1195" i="20" s="1"/>
  <c r="H1140" i="20"/>
  <c r="I1140" i="20" s="1"/>
  <c r="H564" i="20"/>
  <c r="I564" i="20" s="1"/>
  <c r="H1288" i="20"/>
  <c r="I1288" i="20" s="1"/>
  <c r="H1026" i="20"/>
  <c r="I1026" i="20" s="1"/>
  <c r="H1179" i="20"/>
  <c r="H202" i="20"/>
  <c r="I202" i="20" s="1"/>
  <c r="H284" i="20"/>
  <c r="I284" i="20" s="1"/>
  <c r="H690" i="20"/>
  <c r="I690" i="20" s="1"/>
  <c r="H1030" i="20"/>
  <c r="I1030" i="20" s="1"/>
  <c r="H687" i="20"/>
  <c r="I687" i="20" s="1"/>
  <c r="H249" i="20"/>
  <c r="I249" i="20" s="1"/>
  <c r="H1016" i="20"/>
  <c r="I1016" i="20" s="1"/>
  <c r="H1225" i="20"/>
  <c r="I1225" i="20" s="1"/>
  <c r="H196" i="20"/>
  <c r="I196" i="20" s="1"/>
  <c r="H231" i="20"/>
  <c r="I231" i="20" s="1"/>
  <c r="H1028" i="20"/>
  <c r="I1028" i="20" s="1"/>
  <c r="H1227" i="20"/>
  <c r="I1227" i="20" s="1"/>
  <c r="H1096" i="20"/>
  <c r="I1096" i="20" s="1"/>
  <c r="H683" i="20"/>
  <c r="I683" i="20" s="1"/>
  <c r="H1037" i="20"/>
  <c r="I1037" i="20" s="1"/>
  <c r="H1040" i="20"/>
  <c r="I1040" i="20" s="1"/>
  <c r="H1142" i="20"/>
  <c r="I1142" i="20" s="1"/>
  <c r="H314" i="20"/>
  <c r="I314" i="20" s="1"/>
  <c r="H764" i="20"/>
  <c r="I764" i="20" s="1"/>
  <c r="H856" i="20"/>
  <c r="I856" i="20" s="1"/>
  <c r="H308" i="20"/>
  <c r="I308" i="20" s="1"/>
  <c r="H230" i="20"/>
  <c r="I230" i="20" s="1"/>
  <c r="H773" i="20"/>
  <c r="I773" i="20" s="1"/>
  <c r="H497" i="20"/>
  <c r="I497" i="20" s="1"/>
  <c r="H1121" i="20"/>
  <c r="I1121" i="20" s="1"/>
  <c r="H656" i="20"/>
  <c r="I656" i="20" s="1"/>
  <c r="H938" i="20"/>
  <c r="I938" i="20" s="1"/>
  <c r="H944" i="20"/>
  <c r="I944" i="20" s="1"/>
  <c r="H842" i="20"/>
  <c r="I842" i="20" s="1"/>
  <c r="H118" i="20"/>
  <c r="I118" i="20" s="1"/>
  <c r="H1051" i="20"/>
  <c r="I1051" i="20" s="1"/>
  <c r="H851" i="20"/>
  <c r="I851" i="20" s="1"/>
  <c r="H109" i="20"/>
  <c r="I109" i="20" s="1"/>
  <c r="H735" i="20"/>
  <c r="I735" i="20" s="1"/>
  <c r="H1009" i="20"/>
  <c r="I1009" i="20" s="1"/>
  <c r="H1000" i="20"/>
  <c r="I1000" i="20" s="1"/>
  <c r="H489" i="20"/>
  <c r="I489" i="20" s="1"/>
  <c r="H288" i="20"/>
  <c r="I288" i="20" s="1"/>
  <c r="H467" i="20"/>
  <c r="I467" i="20" s="1"/>
  <c r="H1097" i="20"/>
  <c r="I1097" i="20" s="1"/>
  <c r="H1102" i="20"/>
  <c r="I1102" i="20" s="1"/>
  <c r="H317" i="20"/>
  <c r="I317" i="20" s="1"/>
  <c r="H204" i="20"/>
  <c r="H954" i="20"/>
  <c r="I954" i="20" s="1"/>
  <c r="H821" i="20"/>
  <c r="I821" i="20" s="1"/>
  <c r="H247" i="20"/>
  <c r="I247" i="20" s="1"/>
  <c r="H680" i="20"/>
  <c r="I680" i="20" s="1"/>
  <c r="H1139" i="20"/>
  <c r="I1139" i="20" s="1"/>
  <c r="H931" i="20"/>
  <c r="I931" i="20" s="1"/>
  <c r="H965" i="20"/>
  <c r="I965" i="20" s="1"/>
  <c r="H248" i="20"/>
  <c r="I248" i="20" s="1"/>
  <c r="H1023" i="20"/>
  <c r="I1023" i="20" s="1"/>
  <c r="H1399" i="20"/>
  <c r="I1399" i="20" s="1"/>
  <c r="H1054" i="20"/>
  <c r="I1054" i="20" s="1"/>
  <c r="H1055" i="20"/>
  <c r="I1055" i="20" s="1"/>
  <c r="H1400" i="20"/>
  <c r="I1400" i="20" s="1"/>
  <c r="H1401" i="20"/>
  <c r="I1401" i="20" s="1"/>
  <c r="H1402" i="20"/>
  <c r="I1402" i="20" s="1"/>
  <c r="H1056" i="20"/>
  <c r="I1056" i="20" s="1"/>
  <c r="H1403" i="20"/>
  <c r="I1403" i="20" s="1"/>
  <c r="H1404" i="20"/>
  <c r="I1404" i="20" s="1"/>
  <c r="H1405" i="20"/>
  <c r="I1405" i="20" s="1"/>
  <c r="H1406" i="20"/>
  <c r="I1406" i="20" s="1"/>
  <c r="H1407" i="20"/>
  <c r="I1407" i="20" s="1"/>
  <c r="H1408" i="20"/>
  <c r="I1408" i="20" s="1"/>
  <c r="H1409" i="20"/>
  <c r="I1409" i="20" s="1"/>
  <c r="H1410" i="20"/>
  <c r="I1410" i="20" s="1"/>
  <c r="H1411" i="20"/>
  <c r="I1411" i="20" s="1"/>
  <c r="H1412" i="20"/>
  <c r="I1412" i="20" s="1"/>
  <c r="H1413" i="20"/>
  <c r="I1413" i="20" s="1"/>
  <c r="H1414" i="20"/>
  <c r="I1414" i="20" s="1"/>
  <c r="H1415" i="20"/>
  <c r="I1415" i="20" s="1"/>
  <c r="H1416" i="20"/>
  <c r="I280" i="20" l="1"/>
  <c r="H340" i="20"/>
  <c r="I637" i="20"/>
  <c r="H697" i="20"/>
  <c r="N714" i="20"/>
  <c r="N715" i="20" s="1"/>
  <c r="I736" i="20"/>
  <c r="I1267" i="20"/>
  <c r="H1327" i="20"/>
  <c r="I459" i="20"/>
  <c r="H519" i="20"/>
  <c r="N625" i="20"/>
  <c r="N626" i="20" s="1"/>
  <c r="I647" i="20"/>
  <c r="N89" i="20"/>
  <c r="I115" i="20"/>
  <c r="I191" i="20"/>
  <c r="H251" i="20"/>
  <c r="I469" i="20"/>
  <c r="N447" i="20"/>
  <c r="N448" i="20" s="1"/>
  <c r="H1417" i="20"/>
  <c r="I1416" i="20"/>
  <c r="I916" i="20"/>
  <c r="N894" i="20"/>
  <c r="N895" i="20" s="1"/>
  <c r="I101" i="20"/>
  <c r="H161" i="20"/>
  <c r="I558" i="20"/>
  <c r="N536" i="20"/>
  <c r="N537" i="20" s="1"/>
  <c r="N179" i="20"/>
  <c r="N180" i="20" s="1"/>
  <c r="I204" i="20"/>
  <c r="I997" i="20"/>
  <c r="H1057" i="20"/>
  <c r="N1165" i="20"/>
  <c r="N1166" i="20" s="1"/>
  <c r="I1179" i="20"/>
  <c r="N1255" i="20"/>
  <c r="N1256" i="20" s="1"/>
  <c r="I1269" i="20"/>
  <c r="I1001" i="20"/>
  <c r="I1057" i="20" s="1"/>
  <c r="N985" i="20"/>
  <c r="N986" i="20" s="1"/>
  <c r="I548" i="20"/>
  <c r="H608" i="20"/>
  <c r="N357" i="20"/>
  <c r="N358" i="20" s="1"/>
  <c r="I381" i="20"/>
  <c r="I1177" i="20"/>
  <c r="H1237" i="20"/>
  <c r="I293" i="20"/>
  <c r="N268" i="20"/>
  <c r="N269" i="20" s="1"/>
  <c r="I1087" i="20"/>
  <c r="H1147" i="20"/>
  <c r="I1089" i="20"/>
  <c r="N1075" i="20"/>
  <c r="N1076" i="20" s="1"/>
  <c r="I906" i="20"/>
  <c r="H966" i="20"/>
  <c r="N803" i="20"/>
  <c r="N804" i="20" s="1"/>
  <c r="I824" i="20"/>
  <c r="I815" i="20"/>
  <c r="H875" i="20"/>
  <c r="I369" i="20"/>
  <c r="H429" i="20"/>
  <c r="I726" i="20"/>
  <c r="H786" i="20"/>
  <c r="N1345" i="20"/>
  <c r="N1346" i="20" s="1"/>
  <c r="I1357" i="20"/>
  <c r="I519" i="20" l="1"/>
  <c r="I786" i="20"/>
  <c r="I251" i="20"/>
  <c r="I161" i="20"/>
  <c r="I697" i="20"/>
  <c r="I1417" i="20"/>
  <c r="I966" i="20"/>
  <c r="I1327" i="20"/>
  <c r="I1147" i="20"/>
  <c r="I340" i="20"/>
  <c r="I875" i="20"/>
  <c r="I429" i="20"/>
  <c r="N90" i="20"/>
  <c r="N26" i="20"/>
  <c r="O26" i="20" s="1"/>
  <c r="L36" i="2" s="1"/>
  <c r="I608" i="20"/>
  <c r="I1237" i="20"/>
</calcChain>
</file>

<file path=xl/sharedStrings.xml><?xml version="1.0" encoding="utf-8"?>
<sst xmlns="http://schemas.openxmlformats.org/spreadsheetml/2006/main" count="2538" uniqueCount="1005">
  <si>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</si>
  <si>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</si>
  <si>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</si>
  <si>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</si>
  <si>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</si>
  <si>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</si>
  <si>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</si>
  <si>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</si>
  <si>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</si>
  <si>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</si>
  <si>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</si>
  <si>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</si>
  <si>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</si>
  <si>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</si>
  <si>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</si>
  <si>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</si>
  <si>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</si>
  <si>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</si>
  <si>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</si>
  <si>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</si>
  <si>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</si>
  <si>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</si>
  <si>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</si>
  <si>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</si>
  <si>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</si>
  <si>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</si>
  <si>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</si>
  <si>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</si>
  <si>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</si>
  <si>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</si>
  <si>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</si>
  <si>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</si>
  <si>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</si>
  <si>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</si>
  <si>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</si>
  <si>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</si>
  <si>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</si>
  <si>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 xml:space="preserve">  Structures &amp; Improvements</t>
  </si>
  <si>
    <t xml:space="preserve">  Station Equipment</t>
  </si>
  <si>
    <t xml:space="preserve">  Towers &amp; Fixtures</t>
  </si>
  <si>
    <t xml:space="preserve">  Poles &amp; Fixtures</t>
  </si>
  <si>
    <t xml:space="preserve">  Overhead Conductor</t>
  </si>
  <si>
    <t xml:space="preserve">  Underground Conduit</t>
  </si>
  <si>
    <t xml:space="preserve">  Underground Conductors</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</si>
  <si>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</si>
  <si>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</si>
  <si>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</si>
  <si>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</si>
  <si>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</si>
  <si>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</si>
  <si>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</si>
  <si>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</si>
  <si>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</si>
  <si>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</si>
  <si>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 xml:space="preserve">  Land Rights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</si>
  <si>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</si>
  <si>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</si>
  <si>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</si>
  <si>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</si>
  <si>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</si>
  <si>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</si>
  <si>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</si>
  <si>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</si>
  <si>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</si>
  <si>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</si>
  <si>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</si>
  <si>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</si>
  <si>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</si>
  <si>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</si>
  <si>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</si>
  <si>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</si>
  <si>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</si>
  <si>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</si>
  <si>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</si>
  <si>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</si>
  <si>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</si>
  <si>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</si>
  <si>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</si>
  <si>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</si>
  <si>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</si>
  <si>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</si>
  <si>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</si>
  <si>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</si>
  <si>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</si>
  <si>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</si>
  <si>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</si>
  <si>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</si>
  <si>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</si>
  <si>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</si>
  <si>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</si>
  <si>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</si>
  <si>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</si>
  <si>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</si>
  <si>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</si>
  <si>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</si>
  <si>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</si>
  <si>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</si>
  <si>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</si>
  <si>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</si>
  <si>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</si>
  <si>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</si>
  <si>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</si>
  <si>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</si>
  <si>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</si>
  <si>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</si>
  <si>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</si>
  <si>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</si>
  <si>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</si>
  <si>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</si>
  <si>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</si>
  <si>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</si>
  <si>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</si>
  <si>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</si>
  <si>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</si>
  <si>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</si>
  <si>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</si>
  <si>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</si>
  <si>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</si>
  <si>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</si>
  <si>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</si>
  <si>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</si>
  <si>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</si>
  <si>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</si>
  <si>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</si>
  <si>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</si>
  <si>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</si>
  <si>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</si>
  <si>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</si>
  <si>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</si>
  <si>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</si>
  <si>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</si>
  <si>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</si>
  <si>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</si>
  <si>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</si>
  <si>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</si>
  <si>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</si>
  <si>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</si>
  <si>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</si>
  <si>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</si>
  <si>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</si>
  <si>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</si>
  <si>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</si>
  <si>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</si>
  <si>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</si>
  <si>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</si>
  <si>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</si>
  <si>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</si>
  <si>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</si>
  <si>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</si>
  <si>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</si>
  <si>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</si>
  <si>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</si>
  <si>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</si>
  <si>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</si>
  <si>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</si>
  <si>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</si>
  <si>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</si>
  <si>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</si>
  <si>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</si>
  <si>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</si>
  <si>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</si>
  <si>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</si>
  <si>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</si>
  <si>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</si>
  <si>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</si>
  <si>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</si>
  <si>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</si>
  <si>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</si>
  <si>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</si>
  <si>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</si>
  <si>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</si>
  <si>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</si>
  <si>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</si>
  <si>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</si>
  <si>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</si>
  <si>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</si>
  <si>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</si>
  <si>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</si>
  <si>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</si>
  <si>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</si>
  <si>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</si>
  <si>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</si>
  <si>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</si>
  <si>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</si>
  <si>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</si>
  <si>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</si>
  <si>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</si>
  <si>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</si>
  <si>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</si>
  <si>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</si>
  <si>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</si>
  <si>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</si>
  <si>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</si>
  <si>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</si>
  <si>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</si>
  <si>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</si>
  <si>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</si>
  <si>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</si>
  <si>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</si>
  <si>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</si>
  <si>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</si>
  <si>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</si>
  <si>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</si>
  <si>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</si>
  <si>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</si>
  <si>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</si>
  <si>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</si>
  <si>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</si>
  <si>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</si>
  <si>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</si>
  <si>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</si>
  <si>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</si>
  <si>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</si>
  <si>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</si>
  <si>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</si>
  <si>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</si>
  <si>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</si>
  <si>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</si>
  <si>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</si>
  <si>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</si>
  <si>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</si>
  <si>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</si>
  <si>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</si>
  <si>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</si>
  <si>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</si>
  <si>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</si>
  <si>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</si>
  <si>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</si>
  <si>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</si>
  <si>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</si>
  <si>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</si>
  <si>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</si>
  <si>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</si>
  <si>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</si>
  <si>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</si>
  <si>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</si>
  <si>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</si>
  <si>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</si>
  <si>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</si>
  <si>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</si>
  <si>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</si>
  <si>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</si>
  <si>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</si>
  <si>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</si>
  <si>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</si>
  <si>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</si>
  <si>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</si>
  <si>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</si>
  <si>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</si>
  <si>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</si>
  <si>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</si>
  <si>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</si>
  <si>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</si>
  <si>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</si>
  <si>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</si>
  <si>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</si>
  <si>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</si>
  <si>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</si>
  <si>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</si>
  <si>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</si>
  <si>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</si>
  <si>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</si>
  <si>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</si>
  <si>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</si>
  <si>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</si>
  <si>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</si>
  <si>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</si>
  <si>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</si>
  <si>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</si>
  <si>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</si>
  <si>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</si>
  <si>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</si>
  <si>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</si>
  <si>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</si>
  <si>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</si>
  <si>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</si>
  <si>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</si>
  <si>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</si>
  <si>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</si>
  <si>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</si>
  <si>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</si>
  <si>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</si>
  <si>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</si>
  <si>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</si>
  <si>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</si>
  <si>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</si>
  <si>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</si>
  <si>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</si>
  <si>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</si>
  <si>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</si>
  <si>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</si>
  <si>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</si>
  <si>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</si>
  <si>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</si>
  <si>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</si>
  <si>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</si>
  <si>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</si>
  <si>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</si>
  <si>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</si>
  <si>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</si>
  <si>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</si>
  <si>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</si>
  <si>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</si>
  <si>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</si>
  <si>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</si>
  <si>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</si>
  <si>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</si>
  <si>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</si>
  <si>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</si>
  <si>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</si>
  <si>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</si>
  <si>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</si>
  <si>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</si>
  <si>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</si>
  <si>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</si>
  <si>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</si>
  <si>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</si>
  <si>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</si>
  <si>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</si>
  <si>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</si>
  <si>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</si>
  <si>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</si>
  <si>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</si>
  <si>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</si>
  <si>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</si>
  <si>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</si>
  <si>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</si>
  <si>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</si>
  <si>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</si>
  <si>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</si>
  <si>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</si>
  <si>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</si>
  <si>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</si>
  <si>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</si>
  <si>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</si>
  <si>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</si>
  <si>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</si>
  <si>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</si>
  <si>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</si>
  <si>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</si>
  <si>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</si>
  <si>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</si>
  <si>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</si>
  <si>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</si>
  <si>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</si>
  <si>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</si>
  <si>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</si>
  <si>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</si>
  <si>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</si>
  <si>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</si>
  <si>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</si>
  <si>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</si>
  <si>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</si>
  <si>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</si>
  <si>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</si>
  <si>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</si>
  <si>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</si>
  <si>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</si>
  <si>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</si>
  <si>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</si>
  <si>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</si>
  <si>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</si>
  <si>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</si>
  <si>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</si>
  <si>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</si>
  <si>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</si>
  <si>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</si>
  <si>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</si>
  <si>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</si>
  <si>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</si>
  <si>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</si>
  <si>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</si>
  <si>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</si>
  <si>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</si>
  <si>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</si>
  <si>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</si>
  <si>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</si>
  <si>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</si>
  <si>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</si>
  <si>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</si>
  <si>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</si>
  <si>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</si>
  <si>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</si>
  <si>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</si>
  <si>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</si>
  <si>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</si>
  <si>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</si>
  <si>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</si>
  <si>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</si>
  <si>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</si>
  <si>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</si>
  <si>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</si>
  <si>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</si>
  <si>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</si>
  <si>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</si>
  <si>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</si>
  <si>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</si>
  <si>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</si>
  <si>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</si>
  <si>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</si>
  <si>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</si>
  <si>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</si>
  <si>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</si>
  <si>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</si>
  <si>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</si>
  <si>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</si>
  <si>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</si>
  <si>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</si>
  <si>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</si>
  <si>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</si>
  <si>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</si>
  <si>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</si>
  <si>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</si>
  <si>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</si>
  <si>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</si>
  <si>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</si>
  <si>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</si>
  <si>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</si>
  <si>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</si>
  <si>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</si>
  <si>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</si>
  <si>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</si>
  <si>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</si>
  <si>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</si>
  <si>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</si>
  <si>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</si>
  <si>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</si>
  <si>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</si>
  <si>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</si>
  <si>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</si>
  <si>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</si>
  <si>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</si>
  <si>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</si>
  <si>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</si>
  <si>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</si>
  <si>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</si>
  <si>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</si>
  <si>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</si>
  <si>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</si>
  <si>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</si>
  <si>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</si>
  <si>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</si>
  <si>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</si>
  <si>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</si>
  <si>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</si>
  <si>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</si>
  <si>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</si>
  <si>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</si>
  <si>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</si>
  <si>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</si>
  <si>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</si>
  <si>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</si>
  <si>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</si>
  <si>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</si>
  <si>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</si>
  <si>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</si>
  <si>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</si>
  <si>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</si>
  <si>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</si>
  <si>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</si>
  <si>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</si>
  <si>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</si>
  <si>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</si>
  <si>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</si>
  <si>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</si>
  <si>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</si>
  <si>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</si>
  <si>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</si>
  <si>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</si>
  <si>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</si>
  <si>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</si>
  <si>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</si>
  <si>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</si>
  <si>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</si>
  <si>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</si>
  <si>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</si>
  <si>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</si>
  <si>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</si>
  <si>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</si>
  <si>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</si>
  <si>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</si>
  <si>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</si>
  <si>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</si>
  <si>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</si>
  <si>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</si>
  <si>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</si>
  <si>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</si>
  <si>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</si>
  <si>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</si>
  <si>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</si>
  <si>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</si>
  <si>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</si>
  <si>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</si>
  <si>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</si>
  <si>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</si>
  <si>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</si>
  <si>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</si>
  <si>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</si>
  <si>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</si>
  <si>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</si>
  <si>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</si>
  <si>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</si>
  <si>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</si>
  <si>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</si>
  <si>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</si>
  <si>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</si>
  <si>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</si>
  <si>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</si>
  <si>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</si>
  <si>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</si>
  <si>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</si>
  <si>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</si>
  <si>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</si>
  <si>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</si>
  <si>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</si>
  <si>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</si>
  <si>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</si>
  <si>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</si>
  <si>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</si>
  <si>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</si>
  <si>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</si>
  <si>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</si>
  <si>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</si>
  <si>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</si>
  <si>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</si>
  <si>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</si>
  <si>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</si>
  <si>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</si>
  <si>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</si>
  <si>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</si>
  <si>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</si>
  <si>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</si>
  <si>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</si>
  <si>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</si>
  <si>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</si>
  <si>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</si>
  <si>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</si>
  <si>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</si>
  <si>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</si>
  <si>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</si>
  <si>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</si>
  <si>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</si>
  <si>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</si>
  <si>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</si>
  <si>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</si>
  <si>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</si>
  <si>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</si>
  <si>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</si>
  <si>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</si>
  <si>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</si>
  <si>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</si>
  <si>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</si>
  <si>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</si>
  <si>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</si>
  <si>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</si>
  <si>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</si>
  <si>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</si>
  <si>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</si>
  <si>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</si>
  <si>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</si>
  <si>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</si>
  <si>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</si>
  <si>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</si>
  <si>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</si>
  <si>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</si>
  <si>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</si>
  <si>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</si>
  <si>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</si>
  <si>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</si>
  <si>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</si>
  <si>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</si>
  <si>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</si>
  <si>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</si>
  <si>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</si>
  <si>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</si>
  <si>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</si>
  <si>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</si>
  <si>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</si>
  <si>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</si>
  <si>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</si>
  <si>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</si>
  <si>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</si>
  <si>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</si>
  <si>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</si>
  <si>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</si>
  <si>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</si>
  <si>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</si>
  <si>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</si>
  <si>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</si>
  <si>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</si>
  <si>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</si>
  <si>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</si>
  <si>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</si>
  <si>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</si>
  <si>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</si>
  <si>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</si>
  <si>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</si>
  <si>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</si>
  <si>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</si>
  <si>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</si>
  <si>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</si>
  <si>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</si>
  <si>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</si>
  <si>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</si>
  <si>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</si>
  <si>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</si>
  <si>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</si>
  <si>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</si>
  <si>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</si>
  <si>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</si>
  <si>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</si>
  <si>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</si>
  <si>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</si>
  <si>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</si>
  <si>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</si>
  <si>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</si>
  <si>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</si>
  <si>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Tennessee</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</si>
  <si>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</si>
  <si>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</si>
  <si>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</si>
  <si>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</si>
  <si>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 xml:space="preserve">Interest Rate on Amount of Refunds </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</si>
  <si>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</si>
  <si>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</si>
  <si>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</si>
  <si>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</si>
  <si>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</si>
  <si>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</si>
  <si>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</si>
  <si>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</si>
  <si>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</si>
  <si>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</si>
  <si>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</si>
  <si>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t>Privileged and Confidential</t>
  </si>
  <si>
    <t>Subject to FERC Rules 602 and 606</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</si>
  <si>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</si>
  <si>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</si>
  <si>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</si>
  <si>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</si>
  <si>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</si>
  <si>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</si>
  <si>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</si>
  <si>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</si>
  <si>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</si>
  <si>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</si>
  <si>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</si>
  <si>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</si>
  <si>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</si>
  <si>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</si>
  <si>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</si>
  <si>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</si>
  <si>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</si>
  <si>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</si>
  <si>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</si>
  <si>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</si>
  <si>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</si>
  <si>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</si>
  <si>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</si>
  <si>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</si>
  <si>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</si>
  <si>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</si>
  <si>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</si>
  <si>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</si>
  <si>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</si>
  <si>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</si>
  <si>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</si>
  <si>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</si>
  <si>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</si>
  <si>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</si>
  <si>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</si>
  <si>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</si>
  <si>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</si>
  <si>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</si>
  <si>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</si>
  <si>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</si>
  <si>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</si>
  <si>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</si>
  <si>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</si>
  <si>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</si>
  <si>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</si>
  <si>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</si>
  <si>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</si>
  <si>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</si>
  <si>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</si>
  <si>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</si>
  <si>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</si>
  <si>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</si>
  <si>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</si>
  <si>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</si>
  <si>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</si>
  <si>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</si>
  <si>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</si>
  <si>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</si>
  <si>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</si>
  <si>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</si>
  <si>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</si>
  <si>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</si>
  <si>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</si>
  <si>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</si>
  <si>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</si>
  <si>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</si>
  <si>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</si>
  <si>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</si>
  <si>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</si>
  <si>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</si>
  <si>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</si>
  <si>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</si>
  <si>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</si>
  <si>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</si>
  <si>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</si>
  <si>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(Note A)</t>
  </si>
  <si>
    <t>December Prior to Rate Year</t>
  </si>
  <si>
    <t xml:space="preserve">March </t>
  </si>
  <si>
    <t xml:space="preserve">August </t>
  </si>
  <si>
    <t>December  of Rate Year</t>
  </si>
  <si>
    <t xml:space="preserve">Average of the 13 Monthly Balances </t>
  </si>
  <si>
    <t>Accumulated Depreciation</t>
  </si>
  <si>
    <t>OATT Ancillary Services (GSU) Plant In Service</t>
  </si>
  <si>
    <t>OATT Ancillary Services (GSU) Accumulated Depreciation</t>
  </si>
  <si>
    <t>Excluded Plant  - Plant In Service</t>
  </si>
  <si>
    <t>Excluded Plant  - Accumulated Depreciation</t>
  </si>
  <si>
    <t>(b)</t>
  </si>
  <si>
    <t>(c)</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</si>
  <si>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</si>
  <si>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</si>
  <si>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</si>
  <si>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</si>
  <si>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</si>
  <si>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</si>
  <si>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</si>
  <si>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</si>
  <si>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</si>
  <si>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</si>
  <si>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</si>
  <si>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</si>
  <si>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</si>
  <si>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</si>
  <si>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</si>
  <si>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</si>
  <si>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</si>
  <si>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</si>
  <si>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</si>
  <si>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</si>
  <si>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</si>
  <si>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</si>
  <si>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</si>
  <si>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</si>
  <si>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</si>
  <si>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</si>
  <si>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</si>
  <si>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</si>
  <si>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</si>
  <si>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</si>
  <si>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</si>
  <si>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</si>
  <si>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</si>
  <si>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</si>
  <si>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</si>
  <si>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</si>
  <si>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</si>
  <si>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</si>
  <si>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</si>
  <si>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</si>
  <si>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</si>
  <si>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</si>
  <si>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</si>
  <si>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</si>
  <si>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</si>
  <si>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</si>
  <si>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</si>
  <si>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</si>
  <si>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</si>
  <si>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</si>
  <si>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</si>
  <si>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</si>
  <si>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</si>
  <si>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</si>
  <si>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</si>
  <si>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</si>
  <si>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</si>
  <si>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</si>
  <si>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</si>
  <si>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</si>
  <si>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</si>
  <si>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</si>
  <si>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</si>
  <si>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</si>
  <si>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</si>
  <si>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</si>
  <si>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</si>
  <si>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</si>
  <si>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</si>
  <si>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</si>
  <si>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</si>
  <si>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</si>
  <si>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Common Stock cost rate (ROE) = 11.49%, the rate accepted by FERC in Docket No. ER10-355.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balances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</si>
  <si>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Transmission Plant Balances in this study are projected or actual average 13 month balances.</t>
  </si>
  <si>
    <t>AEP Indiana Michigan Transmission Company</t>
  </si>
  <si>
    <t>Prepaid Insurance</t>
  </si>
  <si>
    <t>Prepaid Insurance - EIS</t>
  </si>
  <si>
    <t>Prepaid Lease</t>
  </si>
  <si>
    <t>Misc General Expenses</t>
  </si>
  <si>
    <t>Corporate &amp; Fiscal Expenses</t>
  </si>
  <si>
    <t>Research, Develop&amp;Demonstr Exp</t>
  </si>
  <si>
    <t>Assoc Business Development Exp</t>
  </si>
  <si>
    <t>MICHIGAN JURISDICTION</t>
  </si>
  <si>
    <t>INDIANA JURISDICTION</t>
  </si>
  <si>
    <t>Real and Personal Property - Michigan</t>
  </si>
  <si>
    <t>Real and Personal Property - Indiana</t>
  </si>
  <si>
    <t>No</t>
  </si>
  <si>
    <t>RTEP ID: b1465.4 (Make switching improvements at Sullivan and Jefferson 765 kV stations)</t>
  </si>
  <si>
    <t>RTEP ID: b1465.2 (Replace the 100 MVAR 765 kV shunt reactor bank on Rockport - Jefferson 765 kV line with a 300 MVAR bank at Rockport Station)</t>
  </si>
  <si>
    <t xml:space="preserve">RTEP ID: b2048 (Replace both Tanners Creek 345/138 kV transformers with one bigger transformer)     
</t>
  </si>
  <si>
    <t xml:space="preserve">RTEP ID: b1818 (Expand the Allen station by installing a second 345/138 kV transformer and adding four exits by cutting in the Lincoln-Sterling and Timber Switch -Milan 138 kV double circuit tower line)
</t>
  </si>
  <si>
    <t xml:space="preserve"> $                            -  </t>
  </si>
  <si>
    <t xml:space="preserve"> $                                     -  </t>
  </si>
  <si>
    <t xml:space="preserve">RTEP ID: b1819 (Rebuild the Robinson Park-Sorneson 138 kV line corridor as a 345 kV double circuit line with one side operated at 345 kV and one side at 138 kV)
</t>
  </si>
  <si>
    <t>RTEP ID: b1659 (Sorenson: Add 765/345 kV transformer and all connection work)</t>
  </si>
  <si>
    <t>RTEP ID: b1659.13 (Sorenson: Expansion work to establish 765 kV site)</t>
  </si>
  <si>
    <t>RTEP ID: b1659.14 (Sorenson: Approx. 14 miles of 765 kV line from existing Dumont-Marysville line)</t>
  </si>
  <si>
    <t>RTEP ID: b1465.1 (Add a 3rd 2250 MVA 765/345 kV transformer at Sullivan station)</t>
  </si>
  <si>
    <t xml:space="preserve">or Surcharges (Note 1) </t>
  </si>
  <si>
    <t xml:space="preserve">Indiana State Tax Rate </t>
  </si>
  <si>
    <t xml:space="preserve">Michigan Tax Rate </t>
  </si>
  <si>
    <r>
      <t xml:space="preserve">Note: </t>
    </r>
    <r>
      <rPr>
        <sz val="12"/>
        <rFont val="Arial MT"/>
      </rPr>
      <t>Per the Settlement in Docket No. ER10-355, Appendix A.1.2, AEP INDIANA MICHIGAN TRANSMISSION COMPANY shall use the depreciation rates shown above by FERC Account until such time as the FERC approves new depreciation rates pusuant to a Section 205 or 206 filing to change rates.</t>
    </r>
  </si>
  <si>
    <t>I &amp; M</t>
  </si>
  <si>
    <t>RTEP ID: b1465.5 (Sullivan Inst Baker 765 kV trf.)</t>
  </si>
  <si>
    <t>Capital Structure Equity Limit (Note Z)</t>
  </si>
  <si>
    <t>Cap Limit</t>
  </si>
  <si>
    <t>Z</t>
  </si>
  <si>
    <t xml:space="preserve">Per the settlement in EL17-13, equity is limited to 55% in of the Company's capital structure.  If the percentage of actual equity exceeds the cap, the excess is included as long term debt in the capital structure.  </t>
  </si>
  <si>
    <t>INDIANA MICHIGAN TRANSMISSION COMPANY</t>
  </si>
  <si>
    <t>Worksheet B-3</t>
  </si>
  <si>
    <t>Excess/ Deficient ADIT Worksheet</t>
  </si>
  <si>
    <t>Debit/(Credit)</t>
  </si>
  <si>
    <t xml:space="preserve">I </t>
  </si>
  <si>
    <t xml:space="preserve">J </t>
  </si>
  <si>
    <t>Balance Sheet Entries</t>
  </si>
  <si>
    <t>Tax Expense Entries</t>
  </si>
  <si>
    <t xml:space="preserve">Line No. </t>
  </si>
  <si>
    <t>Account (NOTE A)</t>
  </si>
  <si>
    <t>Description of Account</t>
  </si>
  <si>
    <t>Protected
Unprotected</t>
  </si>
  <si>
    <t>Tax Rate Change Act</t>
  </si>
  <si>
    <t>Excess Balance at Remeasurement</t>
  </si>
  <si>
    <t>Amortization Methodology (NOTE C)</t>
  </si>
  <si>
    <t>Amotization Period</t>
  </si>
  <si>
    <t>Excess ADIT Regulatory  Offset</t>
  </si>
  <si>
    <t>Excess ADIT in Utility Deferrals</t>
  </si>
  <si>
    <t>Balance Sheet Account Reclassifications</t>
  </si>
  <si>
    <t>410/411
Excess Amortization NOTE C</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</si>
  <si>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</si>
  <si>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</si>
  <si>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</si>
  <si>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</si>
  <si>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</si>
  <si>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</si>
  <si>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</si>
  <si>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</si>
  <si>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</si>
  <si>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</si>
  <si>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</si>
  <si>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</si>
  <si>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</si>
  <si>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</si>
  <si>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</si>
  <si>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</si>
  <si>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</si>
  <si>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</si>
  <si>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</si>
  <si>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</si>
  <si>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</si>
  <si>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</si>
  <si>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</si>
  <si>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</si>
  <si>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</si>
  <si>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</si>
  <si>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1g</t>
  </si>
  <si>
    <r>
      <t>283</t>
    </r>
    <r>
      <rPr>
        <sz val="9"/>
        <color indexed="10"/>
        <rFont val="Arial"/>
        <family val="2"/>
      </rPr>
      <t>4</t>
    </r>
    <r>
      <rPr>
        <sz val="9"/>
        <rFont val="Arial"/>
        <family val="2"/>
      </rPr>
      <t>001</t>
    </r>
  </si>
  <si>
    <t>ADFIT - Other FAS 109 Excess</t>
  </si>
  <si>
    <t>1h</t>
  </si>
  <si>
    <t>NOTE  D</t>
  </si>
  <si>
    <t>Regulatory Deferral Accounts</t>
  </si>
  <si>
    <t>2a</t>
  </si>
  <si>
    <t xml:space="preserve">Regulatory Asset  </t>
  </si>
  <si>
    <t xml:space="preserve"> Company Records</t>
  </si>
  <si>
    <t>2b</t>
  </si>
  <si>
    <t>Regulatory Liability</t>
  </si>
  <si>
    <t>FERC Form 1 p. 278 Ln. 3 Cols, (b) /(f)</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</si>
  <si>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</si>
  <si>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</si>
  <si>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</si>
  <si>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</si>
  <si>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</si>
  <si>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</si>
  <si>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</si>
  <si>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</si>
  <si>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D:</t>
  </si>
  <si>
    <t xml:space="preserve"> In  the event of future tax rate changes, additional lines will be inserted as required to reflect  any new ADIT or regulatory deferral accounts that may be necessary to track that tax rate change.</t>
  </si>
  <si>
    <t>NOTE E:</t>
  </si>
  <si>
    <t>WS B - 2 Col B/C, ADIT Item 2.12</t>
  </si>
  <si>
    <t>WS B - 1 Col N, ADIT Item 5.15</t>
  </si>
  <si>
    <t>WS B - 1 Col N, ADIT Item 5.16</t>
  </si>
  <si>
    <t>WS B - 1 Col B/C, ADIT Item 5.19</t>
  </si>
  <si>
    <t>WS B - 1 Col N, ADIT Item 9.03</t>
  </si>
  <si>
    <t>WS B - 1 Col B/C, ADIT Item 9.06</t>
  </si>
  <si>
    <t>Company Records (included in total in column (d) of line 14, gross plant above)</t>
  </si>
  <si>
    <t>Company Records (included in total in column (d) of line 28, accumulated depreciation, above)</t>
  </si>
  <si>
    <t>Transmission Accumulated Depreciation net of GSU, and Other Excludable Balances (Ln 28d - 42c - 42e)</t>
  </si>
  <si>
    <t>1/1/2022 Beginning  Balances</t>
  </si>
  <si>
    <t>12/31/2022 Ending Balance</t>
  </si>
  <si>
    <t>For Year Ended December 31, 2023</t>
  </si>
  <si>
    <t>RTEP ID: b2777 (Reconductor the entire Dequine - Eugene 345 kV circuit #1)</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</si>
  <si>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</si>
  <si>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</si>
  <si>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</si>
  <si>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</si>
  <si>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</si>
  <si>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</si>
  <si>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</si>
  <si>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</si>
  <si>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</si>
  <si>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</si>
  <si>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</si>
  <si>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</si>
  <si>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9301010</t>
  </si>
  <si>
    <t>Publicity</t>
  </si>
  <si>
    <t>9301012</t>
  </si>
  <si>
    <t>Public Opinion Surveys</t>
  </si>
  <si>
    <t>9301014</t>
  </si>
  <si>
    <t>Video Communications</t>
  </si>
  <si>
    <t>9301015</t>
  </si>
  <si>
    <t>Other Corporate Comm Exp</t>
  </si>
  <si>
    <t>AEP EAST TRANSMISSION COMPANIES</t>
  </si>
  <si>
    <t>Docket ER20-1888-000</t>
  </si>
  <si>
    <t>AEP APPALACHIAN TRANSMISSION COMPANY</t>
  </si>
  <si>
    <t>Compliance Filing</t>
  </si>
  <si>
    <t>ATTACHMENT H-20B</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</si>
  <si>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</si>
  <si>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</si>
  <si>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</si>
  <si>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</si>
  <si>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</si>
  <si>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</si>
  <si>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</si>
  <si>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</si>
  <si>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</si>
  <si>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</si>
  <si>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</si>
  <si>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</si>
  <si>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</si>
  <si>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</si>
  <si>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</si>
  <si>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</si>
  <si>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</si>
  <si>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</si>
  <si>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</si>
  <si>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</si>
  <si>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</si>
  <si>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</si>
  <si>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</si>
  <si>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</si>
  <si>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</si>
  <si>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</si>
  <si>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</si>
  <si>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</si>
  <si>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</si>
  <si>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</si>
  <si>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</si>
  <si>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</si>
  <si>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</si>
  <si>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</si>
  <si>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</si>
  <si>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</si>
  <si>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RTEP ID: b1034.4</t>
  </si>
  <si>
    <t>RTEP ID: b2776</t>
  </si>
  <si>
    <t>RTEP ID: b1034.5</t>
  </si>
  <si>
    <t>General Plant</t>
  </si>
  <si>
    <t>390</t>
  </si>
  <si>
    <t>391</t>
  </si>
  <si>
    <t>392</t>
  </si>
  <si>
    <t>393</t>
  </si>
  <si>
    <t>394</t>
  </si>
  <si>
    <t>395</t>
  </si>
  <si>
    <t>396</t>
  </si>
  <si>
    <t>397</t>
  </si>
  <si>
    <t>398</t>
  </si>
  <si>
    <r>
      <t>Note:</t>
    </r>
    <r>
      <rPr>
        <sz val="12"/>
        <rFont val="Arial"/>
        <family val="2"/>
      </rPr>
      <t xml:space="preserve"> (1) Indiana Michigan Transco Depreciation Rates are based on the July 2024 Michigan Orders in Case Nos. U-21412 AND U-21461. 					</t>
    </r>
  </si>
  <si>
    <t>Laboratory Equipment</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</si>
  <si>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</si>
  <si>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</si>
  <si>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</si>
  <si>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</si>
  <si>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</si>
  <si>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</si>
  <si>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</si>
  <si>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</si>
  <si>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7/15/24</t>
  </si>
  <si>
    <t>2024 Forecasted Revenue Requirement For Year 2024</t>
  </si>
  <si>
    <t>An over or under collection will be recovered prorata over 2024, held for 2025 and returned prorate over 2026</t>
  </si>
  <si>
    <t>2024 Collections</t>
  </si>
  <si>
    <t>GP=</t>
  </si>
  <si>
    <t>NP=</t>
  </si>
  <si>
    <t>RTEP ID: b3775.7 Upgrade the limiting element at Dumont substation to increase the rating of the Stillwell-Dumont 345 kV line to match conductor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</si>
</sst>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0"/>
    <numFmt numFmtId="194" formatCode="&quot;$&quot;#,##0.0000"/>
    <numFmt numFmtId="195" formatCode="_(* #,##0.00_);_(* \(#,##0.00\);_(* &quot;-&quot;_);_(@_)"/>
    <numFmt numFmtId="196" formatCode="[$-409]mmmm\-yy;@"/>
    <numFmt numFmtId="197" formatCode="mm/dd/yy"/>
    <numFmt numFmtId="198" formatCode="0.000"/>
  </numFmts>
  <fonts count="159">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10"/>
      <name val="Arial"/>
      <family val="2"/>
    </font>
    <font>
      <sz val="9"/>
      <color indexed="10"/>
      <name val="Arial"/>
      <family val="2"/>
    </font>
    <font>
      <i/>
      <sz val="9"/>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1607409894101"/>
        <bgColor indexed="64"/>
      </patternFill>
    </fill>
    <fill>
      <patternFill patternType="darkUp">
        <bgColor theme="0" tint="-0.14990691854609822"/>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73">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47" fillId="0" borderId="0" applyFont="0" applyFill="0" applyBorder="0" applyAlignment="0" applyProtection="0"/>
    <xf numFmtId="43" fontId="13" fillId="0" borderId="0" applyFont="0" applyFill="0" applyBorder="0" applyAlignment="0" applyProtection="0"/>
    <xf numFmtId="43" fontId="147" fillId="0" borderId="0" applyFont="0" applyFill="0" applyBorder="0" applyAlignment="0" applyProtection="0"/>
    <xf numFmtId="43" fontId="13" fillId="0" borderId="0" applyFont="0" applyFill="0" applyBorder="0" applyAlignment="0" applyProtection="0"/>
    <xf numFmtId="43" fontId="147"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47"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50" fillId="0" borderId="0" applyFont="0" applyFill="0" applyBorder="0" applyAlignment="0" applyProtection="0"/>
    <xf numFmtId="43" fontId="13" fillId="0" borderId="0" applyFont="0" applyFill="0" applyBorder="0" applyAlignment="0" applyProtection="0"/>
    <xf numFmtId="43" fontId="134" fillId="0" borderId="0" applyFont="0" applyFill="0" applyBorder="0" applyAlignment="0" applyProtection="0"/>
    <xf numFmtId="43" fontId="150" fillId="0" borderId="0" applyFont="0" applyFill="0" applyBorder="0" applyAlignment="0" applyProtection="0"/>
    <xf numFmtId="43" fontId="138" fillId="0" borderId="0" applyFont="0" applyFill="0" applyBorder="0" applyAlignment="0" applyProtection="0"/>
    <xf numFmtId="43" fontId="150" fillId="0" borderId="0" applyFont="0" applyFill="0" applyBorder="0" applyAlignment="0" applyProtection="0"/>
    <xf numFmtId="43" fontId="147" fillId="0" borderId="0" applyFont="0" applyFill="0" applyBorder="0" applyAlignment="0" applyProtection="0"/>
    <xf numFmtId="43" fontId="150" fillId="0" borderId="0" applyFont="0" applyFill="0" applyBorder="0" applyAlignment="0" applyProtection="0"/>
    <xf numFmtId="43" fontId="3" fillId="0" borderId="0" applyFont="0" applyFill="0" applyBorder="0" applyAlignment="0" applyProtection="0"/>
    <xf numFmtId="43" fontId="130"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47" fillId="0" borderId="0" applyFont="0" applyFill="0" applyBorder="0" applyAlignment="0" applyProtection="0"/>
    <xf numFmtId="44" fontId="13" fillId="0" borderId="0" applyFont="0" applyFill="0" applyBorder="0" applyAlignment="0" applyProtection="0"/>
    <xf numFmtId="44" fontId="147" fillId="0" borderId="0" applyFont="0" applyFill="0" applyBorder="0" applyAlignment="0" applyProtection="0"/>
    <xf numFmtId="44" fontId="147"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47" fillId="0" borderId="0" applyFont="0" applyFill="0" applyBorder="0" applyAlignment="0" applyProtection="0"/>
    <xf numFmtId="44" fontId="150" fillId="0" borderId="0" applyFont="0" applyFill="0" applyBorder="0" applyAlignment="0" applyProtection="0"/>
    <xf numFmtId="44" fontId="13" fillId="0" borderId="0" applyFont="0" applyFill="0" applyBorder="0" applyAlignment="0" applyProtection="0"/>
    <xf numFmtId="44" fontId="150" fillId="0" borderId="0" applyFont="0" applyFill="0" applyBorder="0" applyAlignment="0" applyProtection="0"/>
    <xf numFmtId="44" fontId="147"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29" fillId="0" borderId="0"/>
    <xf numFmtId="3" fontId="13" fillId="0" borderId="0"/>
    <xf numFmtId="3" fontId="13" fillId="0" borderId="0"/>
    <xf numFmtId="3" fontId="13" fillId="0" borderId="0"/>
    <xf numFmtId="3" fontId="147" fillId="0" borderId="0"/>
    <xf numFmtId="0" fontId="129" fillId="0" borderId="0"/>
    <xf numFmtId="0" fontId="13" fillId="0" borderId="0"/>
    <xf numFmtId="3" fontId="13" fillId="0" borderId="0"/>
    <xf numFmtId="3" fontId="13" fillId="0" borderId="0"/>
    <xf numFmtId="0" fontId="147" fillId="0" borderId="0"/>
    <xf numFmtId="3" fontId="13" fillId="0" borderId="0"/>
    <xf numFmtId="3" fontId="13" fillId="0" borderId="0"/>
    <xf numFmtId="0" fontId="150" fillId="0" borderId="0"/>
    <xf numFmtId="3" fontId="13" fillId="0" borderId="0"/>
    <xf numFmtId="3" fontId="13" fillId="0" borderId="0"/>
    <xf numFmtId="3" fontId="13" fillId="0" borderId="0"/>
    <xf numFmtId="3"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0" fontId="151" fillId="0" borderId="0"/>
    <xf numFmtId="0" fontId="13" fillId="0" borderId="0"/>
    <xf numFmtId="0" fontId="13" fillId="0" borderId="0"/>
    <xf numFmtId="0" fontId="151" fillId="0" borderId="0"/>
    <xf numFmtId="0"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3" fontId="13" fillId="0" borderId="0"/>
    <xf numFmtId="0" fontId="13" fillId="0" borderId="0"/>
    <xf numFmtId="0" fontId="150"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9" fillId="0" borderId="0"/>
    <xf numFmtId="0" fontId="13" fillId="0" borderId="0"/>
    <xf numFmtId="0" fontId="147" fillId="0" borderId="0"/>
    <xf numFmtId="0" fontId="13" fillId="0" borderId="0"/>
    <xf numFmtId="0" fontId="147" fillId="0" borderId="0"/>
    <xf numFmtId="0" fontId="13" fillId="0" borderId="0"/>
    <xf numFmtId="0" fontId="147" fillId="0" borderId="0"/>
    <xf numFmtId="0" fontId="13" fillId="0" borderId="0"/>
    <xf numFmtId="0" fontId="13" fillId="0" borderId="0"/>
    <xf numFmtId="0" fontId="13" fillId="0" borderId="0"/>
    <xf numFmtId="3" fontId="13" fillId="0" borderId="0"/>
    <xf numFmtId="3" fontId="13" fillId="0" borderId="0"/>
    <xf numFmtId="0" fontId="129" fillId="0" borderId="0"/>
    <xf numFmtId="0" fontId="13" fillId="0" borderId="0"/>
    <xf numFmtId="0" fontId="147" fillId="0" borderId="0"/>
    <xf numFmtId="0" fontId="129" fillId="0" borderId="0"/>
    <xf numFmtId="0" fontId="13" fillId="0" borderId="0"/>
    <xf numFmtId="0" fontId="13" fillId="0" borderId="0"/>
    <xf numFmtId="0" fontId="13" fillId="0" borderId="0"/>
    <xf numFmtId="0" fontId="147" fillId="0" borderId="0"/>
    <xf numFmtId="0" fontId="13" fillId="0" borderId="0"/>
    <xf numFmtId="0" fontId="13" fillId="0" borderId="0"/>
    <xf numFmtId="0" fontId="147" fillId="0" borderId="0"/>
    <xf numFmtId="0" fontId="13" fillId="0" borderId="0"/>
    <xf numFmtId="0" fontId="150" fillId="0" borderId="0"/>
    <xf numFmtId="0" fontId="129" fillId="0" borderId="0"/>
    <xf numFmtId="0" fontId="13" fillId="0" borderId="0"/>
    <xf numFmtId="0" fontId="150" fillId="0" borderId="0"/>
    <xf numFmtId="0" fontId="147" fillId="0" borderId="0"/>
    <xf numFmtId="0" fontId="129" fillId="0" borderId="0"/>
    <xf numFmtId="0" fontId="13" fillId="0" borderId="0"/>
    <xf numFmtId="0" fontId="150" fillId="0" borderId="0"/>
    <xf numFmtId="0" fontId="147" fillId="0" borderId="0"/>
    <xf numFmtId="0" fontId="129" fillId="0" borderId="0"/>
    <xf numFmtId="0" fontId="13" fillId="0" borderId="0"/>
    <xf numFmtId="0" fontId="150" fillId="0" borderId="0"/>
    <xf numFmtId="0" fontId="147" fillId="0" borderId="0"/>
    <xf numFmtId="0" fontId="4" fillId="0" borderId="0" applyProtection="0"/>
    <xf numFmtId="0" fontId="3" fillId="0" borderId="0"/>
    <xf numFmtId="0" fontId="13" fillId="0" borderId="0"/>
    <xf numFmtId="0" fontId="13" fillId="0" borderId="0"/>
    <xf numFmtId="0" fontId="13" fillId="0" borderId="0"/>
    <xf numFmtId="172" fontId="4" fillId="0" borderId="0" applyProtection="0"/>
    <xf numFmtId="0" fontId="3" fillId="0" borderId="0"/>
    <xf numFmtId="172" fontId="4" fillId="0" borderId="0" applyProtection="0"/>
    <xf numFmtId="172" fontId="4" fillId="0" borderId="0" applyProtection="0"/>
    <xf numFmtId="0" fontId="71" fillId="0" borderId="0"/>
    <xf numFmtId="0" fontId="13" fillId="0" borderId="0"/>
    <xf numFmtId="0" fontId="4" fillId="0" borderId="0"/>
    <xf numFmtId="0" fontId="13" fillId="0" borderId="0"/>
    <xf numFmtId="0" fontId="3" fillId="0" borderId="0"/>
    <xf numFmtId="0" fontId="130" fillId="0" borderId="0"/>
    <xf numFmtId="0" fontId="111"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47" fillId="0" borderId="0" applyFont="0" applyFill="0" applyBorder="0" applyAlignment="0" applyProtection="0"/>
    <xf numFmtId="9" fontId="13" fillId="0" borderId="0" applyFont="0" applyFill="0" applyBorder="0" applyAlignment="0" applyProtection="0"/>
    <xf numFmtId="9" fontId="147" fillId="0" borderId="0" applyFont="0" applyFill="0" applyBorder="0" applyAlignment="0" applyProtection="0"/>
    <xf numFmtId="9" fontId="147"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47" fillId="0" borderId="0" applyFont="0" applyFill="0" applyBorder="0" applyAlignment="0" applyProtection="0"/>
    <xf numFmtId="9" fontId="150" fillId="0" borderId="0" applyFont="0" applyFill="0" applyBorder="0" applyAlignment="0" applyProtection="0"/>
    <xf numFmtId="9" fontId="13" fillId="0" borderId="0" applyFont="0" applyFill="0" applyBorder="0" applyAlignment="0" applyProtection="0"/>
    <xf numFmtId="9" fontId="150" fillId="0" borderId="0" applyFont="0" applyFill="0" applyBorder="0" applyAlignment="0" applyProtection="0"/>
    <xf numFmtId="9" fontId="150" fillId="0" borderId="0" applyFont="0" applyFill="0" applyBorder="0" applyAlignment="0" applyProtection="0"/>
    <xf numFmtId="9" fontId="147"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 fillId="0" borderId="0"/>
    <xf numFmtId="43" fontId="3"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0" fontId="1" fillId="0" borderId="0"/>
    <xf numFmtId="0" fontId="155" fillId="0" borderId="0"/>
    <xf numFmtId="0" fontId="1" fillId="0" borderId="0"/>
    <xf numFmtId="0" fontId="3" fillId="0" borderId="0"/>
    <xf numFmtId="0" fontId="3" fillId="0" borderId="0"/>
    <xf numFmtId="0" fontId="3" fillId="0" borderId="0"/>
    <xf numFmtId="43" fontId="3" fillId="0" borderId="0" applyFont="0" applyFill="0" applyBorder="0" applyAlignment="0" applyProtection="0"/>
  </cellStyleXfs>
  <cellXfs count="1226">
    <xf numFmtId="0" fontId="0" fillId="0" borderId="0" xfId="0"/>
    <xf numFmtId="0" fontId="0" fillId="0" borderId="0" xfId="0" applyAlignment="1">
      <alignment horizontal="center"/>
    </xf>
    <xf numFmtId="3" fontId="6" fillId="0" borderId="0" xfId="0" applyNumberFormat="1" applyFont="1" applyAlignment="1">
      <alignment horizontal="center"/>
    </xf>
    <xf numFmtId="0" fontId="13" fillId="0" borderId="0" xfId="0" applyFont="1"/>
    <xf numFmtId="0" fontId="10" fillId="0" borderId="0" xfId="270" applyFont="1" applyAlignment="1">
      <alignment horizontal="center"/>
    </xf>
    <xf numFmtId="0" fontId="16" fillId="0" borderId="0" xfId="270" applyFont="1"/>
    <xf numFmtId="0" fontId="5" fillId="0" borderId="0" xfId="0" applyFont="1"/>
    <xf numFmtId="0" fontId="13" fillId="0" borderId="0" xfId="270" applyFont="1"/>
    <xf numFmtId="0" fontId="16" fillId="0" borderId="0" xfId="270" applyFont="1" applyAlignment="1">
      <alignment horizontal="left"/>
    </xf>
    <xf numFmtId="3" fontId="13" fillId="0" borderId="0" xfId="0" applyNumberFormat="1" applyFont="1"/>
    <xf numFmtId="0" fontId="6" fillId="0" borderId="0" xfId="270" applyFont="1" applyAlignment="1">
      <alignment horizontal="right"/>
    </xf>
    <xf numFmtId="40" fontId="13" fillId="0" borderId="0" xfId="0" applyNumberFormat="1" applyFont="1"/>
    <xf numFmtId="0" fontId="6" fillId="0" borderId="0" xfId="270" applyFont="1"/>
    <xf numFmtId="0" fontId="10" fillId="0" borderId="0" xfId="270" applyFont="1" applyAlignment="1">
      <alignment horizontal="left"/>
    </xf>
    <xf numFmtId="0" fontId="13" fillId="0" borderId="0" xfId="270" applyFont="1" applyAlignment="1">
      <alignment horizontal="left"/>
    </xf>
    <xf numFmtId="0" fontId="7" fillId="0" borderId="0" xfId="270" applyFont="1" applyAlignment="1">
      <alignment horizontal="center"/>
    </xf>
    <xf numFmtId="0" fontId="27" fillId="0" borderId="0" xfId="0" applyFont="1"/>
    <xf numFmtId="0" fontId="6" fillId="0" borderId="0" xfId="0" applyFont="1" applyAlignment="1">
      <alignment horizontal="center"/>
    </xf>
    <xf numFmtId="3" fontId="20" fillId="0" borderId="0" xfId="0" applyNumberFormat="1" applyFont="1"/>
    <xf numFmtId="41" fontId="28" fillId="0" borderId="0" xfId="270" applyNumberFormat="1" applyFont="1"/>
    <xf numFmtId="0" fontId="29" fillId="0" borderId="0" xfId="270" applyFont="1" applyAlignment="1">
      <alignment horizontal="left"/>
    </xf>
    <xf numFmtId="0" fontId="27" fillId="0" borderId="0" xfId="270" applyFont="1"/>
    <xf numFmtId="41" fontId="27" fillId="0" borderId="0" xfId="270" applyNumberFormat="1" applyFont="1"/>
    <xf numFmtId="41" fontId="27" fillId="0" borderId="0" xfId="270" applyNumberFormat="1" applyFont="1" applyAlignment="1">
      <alignment vertical="top"/>
    </xf>
    <xf numFmtId="181" fontId="27" fillId="0" borderId="0" xfId="270" applyNumberFormat="1" applyFont="1"/>
    <xf numFmtId="0" fontId="27" fillId="0" borderId="0" xfId="270" applyFont="1" applyAlignment="1">
      <alignment horizontal="left"/>
    </xf>
    <xf numFmtId="0" fontId="30" fillId="0" borderId="0" xfId="270" applyFont="1"/>
    <xf numFmtId="0" fontId="27" fillId="0" borderId="0" xfId="270" applyFont="1" applyAlignment="1">
      <alignment horizontal="center"/>
    </xf>
    <xf numFmtId="0" fontId="11" fillId="0" borderId="0" xfId="270" applyFont="1" applyAlignment="1">
      <alignment horizontal="center"/>
    </xf>
    <xf numFmtId="173" fontId="27" fillId="0" borderId="0" xfId="270" applyNumberFormat="1" applyFont="1"/>
    <xf numFmtId="173" fontId="27" fillId="0" borderId="0" xfId="270" applyNumberFormat="1" applyFont="1" applyAlignment="1">
      <alignment vertical="top"/>
    </xf>
    <xf numFmtId="41" fontId="27" fillId="0" borderId="13" xfId="270" applyNumberFormat="1" applyFont="1" applyBorder="1"/>
    <xf numFmtId="173" fontId="7" fillId="0" borderId="0" xfId="86" applyNumberFormat="1" applyFont="1" applyFill="1" applyAlignment="1">
      <alignment horizontal="center"/>
    </xf>
    <xf numFmtId="0" fontId="6" fillId="0" borderId="0" xfId="270" applyFont="1" applyAlignment="1">
      <alignment horizontal="center"/>
    </xf>
    <xf numFmtId="0" fontId="31" fillId="0" borderId="0" xfId="270" applyFont="1"/>
    <xf numFmtId="41" fontId="6" fillId="0" borderId="13" xfId="270" applyNumberFormat="1" applyFont="1" applyBorder="1"/>
    <xf numFmtId="38" fontId="13" fillId="0" borderId="0" xfId="0" applyNumberFormat="1" applyFont="1"/>
    <xf numFmtId="40" fontId="27" fillId="0" borderId="0" xfId="270" applyNumberFormat="1" applyFont="1"/>
    <xf numFmtId="43" fontId="6" fillId="0" borderId="0" xfId="270" applyNumberFormat="1" applyFont="1"/>
    <xf numFmtId="3" fontId="6" fillId="0" borderId="0" xfId="0" applyNumberFormat="1" applyFont="1"/>
    <xf numFmtId="41" fontId="28" fillId="25" borderId="0" xfId="270" applyNumberFormat="1" applyFont="1" applyFill="1"/>
    <xf numFmtId="0" fontId="33" fillId="0" borderId="0" xfId="0" applyFont="1"/>
    <xf numFmtId="0" fontId="20" fillId="0" borderId="0" xfId="270" applyFont="1"/>
    <xf numFmtId="0" fontId="13" fillId="0" borderId="0" xfId="270" applyFont="1" applyAlignment="1">
      <alignment horizontal="center"/>
    </xf>
    <xf numFmtId="0" fontId="6" fillId="0" borderId="0" xfId="220" applyFont="1" applyAlignment="1">
      <alignment horizontal="center"/>
    </xf>
    <xf numFmtId="49" fontId="6" fillId="0" borderId="0" xfId="270" applyNumberFormat="1" applyFont="1" applyAlignment="1">
      <alignment horizontal="center"/>
    </xf>
    <xf numFmtId="3" fontId="11" fillId="0" borderId="0" xfId="0" applyNumberFormat="1" applyFont="1" applyAlignment="1">
      <alignment horizontal="center"/>
    </xf>
    <xf numFmtId="0" fontId="13" fillId="0" borderId="0" xfId="0" applyFont="1" applyAlignment="1">
      <alignment horizontal="center"/>
    </xf>
    <xf numFmtId="0" fontId="72" fillId="0" borderId="0" xfId="278" applyFont="1"/>
    <xf numFmtId="185" fontId="19" fillId="0" borderId="0" xfId="278" applyNumberFormat="1" applyFont="1" applyAlignment="1">
      <alignment horizontal="center"/>
    </xf>
    <xf numFmtId="0" fontId="13" fillId="0" borderId="0" xfId="278" applyFont="1"/>
    <xf numFmtId="0" fontId="19" fillId="0" borderId="0" xfId="278" applyFont="1"/>
    <xf numFmtId="0" fontId="19" fillId="0" borderId="0" xfId="278" applyFont="1" applyAlignment="1">
      <alignment horizontal="center"/>
    </xf>
    <xf numFmtId="0" fontId="74" fillId="0" borderId="0" xfId="278" applyFont="1"/>
    <xf numFmtId="0" fontId="75" fillId="0" borderId="0" xfId="278" applyFont="1"/>
    <xf numFmtId="185" fontId="13" fillId="0" borderId="0" xfId="278" applyNumberFormat="1" applyFont="1"/>
    <xf numFmtId="0" fontId="76" fillId="0" borderId="0" xfId="275" applyFont="1" applyAlignment="1">
      <alignment horizontal="center"/>
    </xf>
    <xf numFmtId="0" fontId="76" fillId="0" borderId="0" xfId="275" applyFont="1" applyAlignment="1">
      <alignment horizontal="left" indent="2"/>
    </xf>
    <xf numFmtId="39" fontId="76" fillId="0" borderId="0" xfId="275" applyNumberFormat="1" applyFont="1"/>
    <xf numFmtId="0" fontId="13" fillId="0" borderId="0" xfId="278" applyFont="1" applyAlignment="1">
      <alignment horizontal="center"/>
    </xf>
    <xf numFmtId="173" fontId="72" fillId="0" borderId="14" xfId="86" applyNumberFormat="1" applyFont="1" applyBorder="1"/>
    <xf numFmtId="0" fontId="72" fillId="0" borderId="0" xfId="0" applyFont="1"/>
    <xf numFmtId="173" fontId="0" fillId="0" borderId="0" xfId="0" applyNumberFormat="1"/>
    <xf numFmtId="0" fontId="81" fillId="0" borderId="0" xfId="270" applyFont="1" applyAlignment="1">
      <alignment horizontal="left"/>
    </xf>
    <xf numFmtId="0" fontId="5" fillId="0" borderId="0" xfId="0" applyFont="1" applyAlignment="1">
      <alignment horizontal="center"/>
    </xf>
    <xf numFmtId="0" fontId="5" fillId="0" borderId="0" xfId="220" applyFont="1" applyAlignment="1">
      <alignment horizontal="center"/>
    </xf>
    <xf numFmtId="173" fontId="72" fillId="0" borderId="0" xfId="278" applyNumberFormat="1" applyFont="1"/>
    <xf numFmtId="3" fontId="5" fillId="0" borderId="0" xfId="0" applyNumberFormat="1" applyFont="1" applyAlignment="1">
      <alignment horizontal="center"/>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3" fillId="0" borderId="0" xfId="270" applyAlignment="1">
      <alignment horizontal="left"/>
    </xf>
    <xf numFmtId="0" fontId="3" fillId="0" borderId="0" xfId="270"/>
    <xf numFmtId="0" fontId="15" fillId="0" borderId="0" xfId="270" applyFont="1"/>
    <xf numFmtId="0" fontId="84" fillId="0" borderId="0" xfId="270" applyFont="1"/>
    <xf numFmtId="9" fontId="11" fillId="0" borderId="0" xfId="270" quotePrefix="1" applyNumberFormat="1" applyFont="1" applyAlignment="1">
      <alignment horizontal="center"/>
    </xf>
    <xf numFmtId="0" fontId="5" fillId="0" borderId="0" xfId="278" applyFont="1" applyAlignment="1">
      <alignment horizontal="center"/>
    </xf>
    <xf numFmtId="0" fontId="5" fillId="0" borderId="0" xfId="278" applyFont="1"/>
    <xf numFmtId="185" fontId="5" fillId="0" borderId="0" xfId="278" applyNumberFormat="1" applyFont="1" applyAlignment="1">
      <alignment horizontal="center"/>
    </xf>
    <xf numFmtId="0" fontId="5" fillId="0" borderId="11" xfId="278" applyFont="1" applyBorder="1" applyAlignment="1">
      <alignment horizontal="center"/>
    </xf>
    <xf numFmtId="185" fontId="5" fillId="0" borderId="11" xfId="278" applyNumberFormat="1" applyFont="1" applyBorder="1" applyAlignment="1">
      <alignment horizontal="center"/>
    </xf>
    <xf numFmtId="174" fontId="0" fillId="0" borderId="0" xfId="121" applyNumberFormat="1" applyFont="1" applyAlignment="1">
      <alignment horizontal="center"/>
    </xf>
    <xf numFmtId="0" fontId="10" fillId="0" borderId="0" xfId="0" applyFont="1" applyAlignment="1">
      <alignment horizontal="left"/>
    </xf>
    <xf numFmtId="6" fontId="10" fillId="0" borderId="0" xfId="0" applyNumberFormat="1" applyFont="1" applyAlignment="1">
      <alignment horizontal="right"/>
    </xf>
    <xf numFmtId="164" fontId="0" fillId="0" borderId="0" xfId="289" applyNumberFormat="1" applyFont="1"/>
    <xf numFmtId="173" fontId="90" fillId="0" borderId="0" xfId="278" applyNumberFormat="1" applyFont="1"/>
    <xf numFmtId="0" fontId="24" fillId="0" borderId="0" xfId="270" applyFont="1" applyAlignment="1">
      <alignment horizontal="center"/>
    </xf>
    <xf numFmtId="0" fontId="93" fillId="0" borderId="0" xfId="270" applyFont="1"/>
    <xf numFmtId="173" fontId="0" fillId="0" borderId="14" xfId="0" applyNumberFormat="1" applyBorder="1"/>
    <xf numFmtId="9" fontId="0" fillId="0" borderId="0" xfId="289" applyFont="1"/>
    <xf numFmtId="0" fontId="95" fillId="0" borderId="0" xfId="0" applyFont="1" applyAlignment="1">
      <alignment horizontal="center" wrapText="1"/>
    </xf>
    <xf numFmtId="0" fontId="19" fillId="0" borderId="0" xfId="275" applyFont="1" applyAlignment="1">
      <alignment horizontal="center"/>
    </xf>
    <xf numFmtId="190" fontId="99" fillId="0" borderId="0" xfId="220" applyNumberFormat="1" applyFont="1" applyAlignment="1">
      <alignment horizontal="center"/>
    </xf>
    <xf numFmtId="38" fontId="0" fillId="0" borderId="0" xfId="0" applyNumberFormat="1"/>
    <xf numFmtId="0" fontId="3" fillId="0" borderId="0" xfId="0" applyFont="1"/>
    <xf numFmtId="0" fontId="5" fillId="0" borderId="11" xfId="278" applyFont="1" applyBorder="1"/>
    <xf numFmtId="173" fontId="79" fillId="0" borderId="0" xfId="278" applyNumberFormat="1" applyFont="1"/>
    <xf numFmtId="0" fontId="72" fillId="0" borderId="0" xfId="278" applyFont="1" applyAlignment="1">
      <alignment horizontal="center"/>
    </xf>
    <xf numFmtId="3" fontId="79" fillId="0" borderId="0" xfId="278" applyNumberFormat="1" applyFont="1"/>
    <xf numFmtId="38" fontId="23" fillId="0" borderId="0" xfId="0" applyNumberFormat="1" applyFont="1"/>
    <xf numFmtId="49" fontId="6" fillId="0" borderId="0" xfId="86" applyNumberFormat="1" applyFont="1" applyAlignment="1">
      <alignment horizontal="center"/>
    </xf>
    <xf numFmtId="0" fontId="100" fillId="0" borderId="0" xfId="278" applyFont="1"/>
    <xf numFmtId="0" fontId="120" fillId="0" borderId="0" xfId="278" applyFont="1"/>
    <xf numFmtId="0" fontId="33" fillId="0" borderId="0" xfId="270" applyFont="1"/>
    <xf numFmtId="0" fontId="108" fillId="0" borderId="0" xfId="270" applyFont="1" applyAlignment="1">
      <alignment horizontal="center"/>
    </xf>
    <xf numFmtId="0" fontId="95" fillId="0" borderId="0" xfId="0" applyFont="1" applyAlignment="1">
      <alignment horizontal="center"/>
    </xf>
    <xf numFmtId="41" fontId="20" fillId="30" borderId="6" xfId="277" applyNumberFormat="1" applyFont="1" applyFill="1" applyBorder="1" applyProtection="1">
      <protection locked="0"/>
    </xf>
    <xf numFmtId="3" fontId="20" fillId="30" borderId="0" xfId="277" applyNumberFormat="1" applyFont="1" applyFill="1" applyProtection="1">
      <protection locked="0"/>
    </xf>
    <xf numFmtId="41" fontId="6" fillId="30" borderId="0" xfId="277" applyNumberFormat="1" applyFont="1" applyFill="1" applyProtection="1">
      <protection locked="0"/>
    </xf>
    <xf numFmtId="173" fontId="20" fillId="30" borderId="0" xfId="86" applyNumberFormat="1" applyFont="1" applyFill="1" applyAlignment="1" applyProtection="1">
      <alignment horizontal="right"/>
      <protection locked="0"/>
    </xf>
    <xf numFmtId="41" fontId="20" fillId="30" borderId="0" xfId="277" applyNumberFormat="1" applyFont="1" applyFill="1" applyProtection="1">
      <protection locked="0"/>
    </xf>
    <xf numFmtId="173" fontId="9" fillId="30" borderId="0" xfId="86" applyNumberFormat="1" applyFont="1" applyFill="1" applyProtection="1">
      <protection locked="0"/>
    </xf>
    <xf numFmtId="173" fontId="9" fillId="30" borderId="11" xfId="86" applyNumberFormat="1" applyFont="1" applyFill="1" applyBorder="1" applyAlignment="1" applyProtection="1">
      <protection locked="0"/>
    </xf>
    <xf numFmtId="10" fontId="20" fillId="30" borderId="0" xfId="277" applyNumberFormat="1" applyFont="1" applyFill="1" applyProtection="1">
      <protection locked="0"/>
    </xf>
    <xf numFmtId="41" fontId="20" fillId="30" borderId="0" xfId="277" applyNumberFormat="1" applyFont="1" applyFill="1" applyAlignment="1" applyProtection="1">
      <alignment vertical="center"/>
      <protection locked="0"/>
    </xf>
    <xf numFmtId="0" fontId="7" fillId="0" borderId="0" xfId="0" applyFont="1"/>
    <xf numFmtId="10" fontId="20" fillId="31" borderId="0" xfId="289" applyNumberFormat="1" applyFont="1" applyFill="1" applyAlignment="1" applyProtection="1">
      <protection locked="0"/>
    </xf>
    <xf numFmtId="173" fontId="79" fillId="32" borderId="0" xfId="278" applyNumberFormat="1" applyFont="1" applyFill="1"/>
    <xf numFmtId="172" fontId="4" fillId="0" borderId="0" xfId="277" applyProtection="1"/>
    <xf numFmtId="172" fontId="6" fillId="0" borderId="0" xfId="277" applyFont="1" applyProtection="1"/>
    <xf numFmtId="0" fontId="7" fillId="0" borderId="0" xfId="277" applyNumberFormat="1" applyFont="1" applyAlignment="1" applyProtection="1">
      <alignment horizontal="left"/>
    </xf>
    <xf numFmtId="14" fontId="7" fillId="0" borderId="0" xfId="277" applyNumberFormat="1" applyFont="1" applyProtection="1"/>
    <xf numFmtId="172" fontId="7" fillId="0" borderId="0" xfId="277" applyFont="1" applyProtection="1"/>
    <xf numFmtId="0" fontId="20" fillId="32" borderId="0" xfId="86" applyNumberFormat="1" applyFont="1" applyFill="1" applyAlignment="1" applyProtection="1"/>
    <xf numFmtId="0" fontId="6" fillId="0" borderId="0" xfId="277" applyNumberFormat="1" applyFont="1" applyProtection="1"/>
    <xf numFmtId="0" fontId="6" fillId="0" borderId="0" xfId="0" applyFont="1"/>
    <xf numFmtId="0" fontId="20" fillId="0" borderId="0" xfId="86" applyNumberFormat="1" applyFont="1" applyFill="1" applyAlignment="1" applyProtection="1"/>
    <xf numFmtId="3" fontId="6" fillId="0" borderId="0" xfId="277" applyNumberFormat="1" applyFont="1" applyProtection="1"/>
    <xf numFmtId="0" fontId="4" fillId="0" borderId="0" xfId="277" applyNumberFormat="1" applyAlignment="1" applyProtection="1">
      <alignment horizontal="center"/>
    </xf>
    <xf numFmtId="0" fontId="6" fillId="0" borderId="0" xfId="277" applyNumberFormat="1" applyFont="1" applyAlignment="1" applyProtection="1">
      <alignment horizontal="center"/>
    </xf>
    <xf numFmtId="49" fontId="6" fillId="0" borderId="0" xfId="277" applyNumberFormat="1" applyFont="1" applyAlignment="1" applyProtection="1">
      <alignment horizontal="center"/>
    </xf>
    <xf numFmtId="3" fontId="22" fillId="0" borderId="0" xfId="0" applyNumberFormat="1" applyFont="1" applyAlignment="1">
      <alignment horizontal="center"/>
    </xf>
    <xf numFmtId="49" fontId="6" fillId="0" borderId="0" xfId="277" applyNumberFormat="1" applyFont="1" applyProtection="1"/>
    <xf numFmtId="39" fontId="6" fillId="0" borderId="0" xfId="86" applyNumberFormat="1" applyFont="1" applyAlignment="1" applyProtection="1">
      <alignment horizontal="center"/>
    </xf>
    <xf numFmtId="0" fontId="4" fillId="0" borderId="6" xfId="277" applyNumberFormat="1" applyBorder="1" applyAlignment="1" applyProtection="1">
      <alignment horizontal="center"/>
    </xf>
    <xf numFmtId="0" fontId="6" fillId="0" borderId="6" xfId="277" applyNumberFormat="1" applyFont="1" applyBorder="1" applyAlignment="1" applyProtection="1">
      <alignment horizontal="center"/>
    </xf>
    <xf numFmtId="0" fontId="6" fillId="0" borderId="0" xfId="277" applyNumberFormat="1" applyFont="1" applyAlignment="1" applyProtection="1">
      <alignment horizontal="left"/>
    </xf>
    <xf numFmtId="170" fontId="6" fillId="0" borderId="0" xfId="277" applyNumberFormat="1" applyFont="1" applyProtection="1"/>
    <xf numFmtId="3" fontId="6" fillId="0" borderId="0" xfId="277" applyNumberFormat="1" applyFont="1" applyAlignment="1" applyProtection="1">
      <alignment horizontal="left"/>
    </xf>
    <xf numFmtId="0" fontId="6" fillId="0" borderId="6" xfId="277" applyNumberFormat="1" applyFont="1" applyBorder="1" applyAlignment="1" applyProtection="1">
      <alignment horizontal="centerContinuous"/>
    </xf>
    <xf numFmtId="41" fontId="6" fillId="0" borderId="0" xfId="277" applyNumberFormat="1" applyFont="1" applyProtection="1"/>
    <xf numFmtId="3" fontId="6" fillId="0" borderId="0" xfId="277" applyNumberFormat="1" applyFont="1" applyAlignment="1" applyProtection="1">
      <alignment horizontal="center"/>
    </xf>
    <xf numFmtId="165" fontId="6" fillId="0" borderId="0" xfId="277" applyNumberFormat="1" applyFont="1" applyAlignment="1" applyProtection="1">
      <alignment horizontal="right"/>
    </xf>
    <xf numFmtId="42" fontId="6" fillId="0" borderId="0" xfId="277" applyNumberFormat="1" applyFont="1" applyProtection="1"/>
    <xf numFmtId="0" fontId="6" fillId="0" borderId="0" xfId="0" applyFont="1" applyAlignment="1">
      <alignment wrapText="1"/>
    </xf>
    <xf numFmtId="174" fontId="6" fillId="0" borderId="14" xfId="277" applyNumberFormat="1" applyFont="1" applyBorder="1" applyProtection="1"/>
    <xf numFmtId="172" fontId="78" fillId="0" borderId="0" xfId="277" applyFont="1" applyAlignment="1" applyProtection="1">
      <alignment horizontal="center" wrapText="1"/>
    </xf>
    <xf numFmtId="43" fontId="6" fillId="0" borderId="0" xfId="86" applyFont="1" applyProtection="1"/>
    <xf numFmtId="171" fontId="6" fillId="0" borderId="0" xfId="277" applyNumberFormat="1" applyFont="1" applyProtection="1"/>
    <xf numFmtId="10" fontId="6" fillId="0" borderId="0" xfId="277" applyNumberFormat="1" applyFont="1" applyProtection="1"/>
    <xf numFmtId="10" fontId="6" fillId="0" borderId="0" xfId="289" applyNumberFormat="1" applyFont="1" applyFill="1" applyAlignment="1" applyProtection="1"/>
    <xf numFmtId="41" fontId="6" fillId="0" borderId="0" xfId="277" applyNumberFormat="1" applyFont="1" applyAlignment="1" applyProtection="1">
      <alignment horizontal="center"/>
    </xf>
    <xf numFmtId="41" fontId="6" fillId="0" borderId="14" xfId="277" applyNumberFormat="1" applyFont="1" applyBorder="1" applyAlignment="1" applyProtection="1">
      <alignment horizontal="center"/>
    </xf>
    <xf numFmtId="42" fontId="6" fillId="0" borderId="0" xfId="289" applyNumberFormat="1" applyFont="1" applyAlignment="1" applyProtection="1"/>
    <xf numFmtId="43" fontId="6" fillId="0" borderId="0" xfId="86" applyFont="1" applyAlignment="1" applyProtection="1"/>
    <xf numFmtId="0" fontId="33" fillId="0" borderId="0" xfId="0" applyFont="1" applyAlignment="1">
      <alignment horizontal="center"/>
    </xf>
    <xf numFmtId="49" fontId="6" fillId="0" borderId="0" xfId="277" applyNumberFormat="1" applyFont="1" applyAlignment="1" applyProtection="1">
      <alignment horizontal="left"/>
    </xf>
    <xf numFmtId="0" fontId="4" fillId="0" borderId="0" xfId="277" applyNumberFormat="1" applyAlignment="1" applyProtection="1">
      <alignment horizontal="center" vertical="center"/>
    </xf>
    <xf numFmtId="3" fontId="7" fillId="0" borderId="0" xfId="277" applyNumberFormat="1" applyFont="1" applyAlignment="1" applyProtection="1">
      <alignment horizontal="center"/>
    </xf>
    <xf numFmtId="172" fontId="7" fillId="0" borderId="0" xfId="277" applyFont="1" applyAlignment="1" applyProtection="1">
      <alignment horizontal="center"/>
    </xf>
    <xf numFmtId="49" fontId="7" fillId="0" borderId="0" xfId="277" applyNumberFormat="1" applyFont="1" applyAlignment="1" applyProtection="1">
      <alignment horizontal="center"/>
    </xf>
    <xf numFmtId="0" fontId="11" fillId="0" borderId="0" xfId="277" applyNumberFormat="1" applyFont="1" applyAlignment="1" applyProtection="1">
      <alignment horizontal="center"/>
    </xf>
    <xf numFmtId="172" fontId="11" fillId="0" borderId="0" xfId="277" applyFont="1" applyAlignment="1" applyProtection="1">
      <alignment horizontal="center"/>
    </xf>
    <xf numFmtId="3" fontId="7" fillId="0" borderId="0" xfId="277" applyNumberFormat="1" applyFont="1" applyProtection="1"/>
    <xf numFmtId="3" fontId="15" fillId="0" borderId="0" xfId="277" applyNumberFormat="1" applyFont="1" applyAlignment="1" applyProtection="1">
      <alignment horizontal="center"/>
    </xf>
    <xf numFmtId="0" fontId="29" fillId="0" borderId="0" xfId="277" applyNumberFormat="1" applyFont="1" applyProtection="1"/>
    <xf numFmtId="0" fontId="6" fillId="0" borderId="0" xfId="277" applyNumberFormat="1" applyFont="1" applyAlignment="1" applyProtection="1">
      <alignment horizontal="center" vertical="center"/>
    </xf>
    <xf numFmtId="0" fontId="6" fillId="0" borderId="0" xfId="277" applyNumberFormat="1" applyFont="1" applyAlignment="1" applyProtection="1">
      <alignment vertical="center"/>
    </xf>
    <xf numFmtId="3" fontId="6" fillId="0" borderId="0" xfId="277" applyNumberFormat="1" applyFont="1" applyAlignment="1" applyProtection="1">
      <alignment vertical="center" wrapText="1"/>
    </xf>
    <xf numFmtId="41" fontId="6" fillId="0" borderId="0" xfId="277" applyNumberFormat="1" applyFont="1" applyAlignment="1" applyProtection="1">
      <alignment vertical="center"/>
    </xf>
    <xf numFmtId="3" fontId="6" fillId="0" borderId="0" xfId="277" applyNumberFormat="1" applyFont="1" applyAlignment="1" applyProtection="1">
      <alignment vertical="center"/>
    </xf>
    <xf numFmtId="41" fontId="6" fillId="0" borderId="6" xfId="277" applyNumberFormat="1" applyFont="1" applyBorder="1" applyProtection="1"/>
    <xf numFmtId="178" fontId="6" fillId="0" borderId="0" xfId="277" applyNumberFormat="1" applyFont="1" applyProtection="1"/>
    <xf numFmtId="165" fontId="6" fillId="0" borderId="0" xfId="277" applyNumberFormat="1" applyFont="1" applyProtection="1"/>
    <xf numFmtId="0" fontId="33" fillId="0" borderId="0" xfId="0" applyFont="1" applyAlignment="1">
      <alignment wrapText="1"/>
    </xf>
    <xf numFmtId="164" fontId="6" fillId="0" borderId="0" xfId="277" applyNumberFormat="1" applyFont="1" applyAlignment="1" applyProtection="1">
      <alignment horizontal="center"/>
    </xf>
    <xf numFmtId="0" fontId="4" fillId="32" borderId="0" xfId="277" applyNumberFormat="1" applyFill="1" applyAlignment="1" applyProtection="1">
      <alignment horizontal="center"/>
    </xf>
    <xf numFmtId="3" fontId="7" fillId="0" borderId="0" xfId="277" applyNumberFormat="1" applyFont="1" applyAlignment="1" applyProtection="1">
      <alignment horizontal="right"/>
    </xf>
    <xf numFmtId="182" fontId="6" fillId="0" borderId="0" xfId="86" applyNumberFormat="1" applyFont="1" applyFill="1" applyAlignment="1" applyProtection="1"/>
    <xf numFmtId="175" fontId="6" fillId="0" borderId="0" xfId="277" applyNumberFormat="1" applyFont="1" applyProtection="1"/>
    <xf numFmtId="41" fontId="6" fillId="0" borderId="0" xfId="277" applyNumberFormat="1" applyFont="1" applyAlignment="1" applyProtection="1">
      <alignment horizontal="center" vertical="center"/>
    </xf>
    <xf numFmtId="41" fontId="6" fillId="0" borderId="16" xfId="277" applyNumberFormat="1" applyFont="1" applyBorder="1" applyProtection="1"/>
    <xf numFmtId="0" fontId="86" fillId="0" borderId="0" xfId="277" applyNumberFormat="1" applyFont="1" applyAlignment="1" applyProtection="1">
      <alignment horizontal="center"/>
    </xf>
    <xf numFmtId="172" fontId="6" fillId="0" borderId="0" xfId="277" applyFont="1" applyAlignment="1" applyProtection="1">
      <alignment horizontal="center"/>
    </xf>
    <xf numFmtId="0" fontId="7" fillId="0" borderId="0" xfId="277" applyNumberFormat="1" applyFont="1" applyAlignment="1" applyProtection="1">
      <alignment horizontal="center"/>
    </xf>
    <xf numFmtId="3" fontId="11" fillId="0" borderId="0" xfId="277" applyNumberFormat="1" applyFont="1" applyAlignment="1" applyProtection="1">
      <alignment horizontal="center"/>
    </xf>
    <xf numFmtId="3" fontId="11" fillId="0" borderId="0" xfId="277" applyNumberFormat="1" applyFont="1" applyProtection="1"/>
    <xf numFmtId="41" fontId="152" fillId="32" borderId="0" xfId="277" applyNumberFormat="1" applyFont="1" applyFill="1" applyAlignment="1" applyProtection="1">
      <alignment wrapText="1"/>
    </xf>
    <xf numFmtId="43" fontId="13" fillId="0" borderId="0" xfId="86" applyFont="1" applyAlignment="1" applyProtection="1"/>
    <xf numFmtId="3" fontId="94" fillId="0" borderId="0" xfId="277" applyNumberFormat="1" applyFont="1" applyAlignment="1" applyProtection="1">
      <alignment horizontal="right"/>
    </xf>
    <xf numFmtId="3" fontId="6" fillId="0" borderId="0" xfId="277" applyNumberFormat="1" applyFont="1" applyAlignment="1" applyProtection="1">
      <alignment horizontal="center" vertical="center"/>
    </xf>
    <xf numFmtId="3" fontId="6" fillId="0" borderId="0" xfId="277" applyNumberFormat="1" applyFont="1" applyAlignment="1" applyProtection="1">
      <alignment horizontal="left" wrapText="1"/>
    </xf>
    <xf numFmtId="0" fontId="13" fillId="0" borderId="0" xfId="0" applyFont="1" applyAlignment="1">
      <alignment horizontal="left" wrapText="1"/>
    </xf>
    <xf numFmtId="3" fontId="6" fillId="0" borderId="0" xfId="277" applyNumberFormat="1" applyFont="1" applyAlignment="1" applyProtection="1">
      <alignment horizontal="right"/>
    </xf>
    <xf numFmtId="166" fontId="6" fillId="0" borderId="0" xfId="277" applyNumberFormat="1" applyFont="1" applyProtection="1"/>
    <xf numFmtId="167" fontId="6" fillId="0" borderId="0" xfId="277" applyNumberFormat="1" applyFont="1" applyProtection="1"/>
    <xf numFmtId="172" fontId="24" fillId="0" borderId="0" xfId="277" applyFont="1" applyProtection="1"/>
    <xf numFmtId="164" fontId="6" fillId="0" borderId="0" xfId="277" applyNumberFormat="1" applyFont="1" applyAlignment="1" applyProtection="1">
      <alignment horizontal="left"/>
    </xf>
    <xf numFmtId="168" fontId="6" fillId="0" borderId="0" xfId="277" applyNumberFormat="1" applyFont="1" applyProtection="1"/>
    <xf numFmtId="10" fontId="6" fillId="0" borderId="0" xfId="277" applyNumberFormat="1" applyFont="1" applyAlignment="1" applyProtection="1">
      <alignment horizontal="right"/>
    </xf>
    <xf numFmtId="10" fontId="33" fillId="0" borderId="0" xfId="289" applyNumberFormat="1" applyFont="1" applyProtection="1"/>
    <xf numFmtId="3" fontId="24" fillId="0" borderId="0" xfId="277" applyNumberFormat="1" applyFont="1" applyProtection="1"/>
    <xf numFmtId="166" fontId="6" fillId="0" borderId="0" xfId="277" applyNumberFormat="1" applyFont="1" applyAlignment="1" applyProtection="1">
      <alignment horizontal="center"/>
    </xf>
    <xf numFmtId="188" fontId="24" fillId="0" borderId="0" xfId="277" applyNumberFormat="1" applyFont="1" applyAlignment="1" applyProtection="1">
      <alignment horizontal="center"/>
    </xf>
    <xf numFmtId="189" fontId="6" fillId="0" borderId="0" xfId="277" applyNumberFormat="1" applyFont="1" applyProtection="1"/>
    <xf numFmtId="179" fontId="6" fillId="0" borderId="0" xfId="277" applyNumberFormat="1" applyFont="1" applyAlignment="1" applyProtection="1">
      <alignment horizontal="right"/>
    </xf>
    <xf numFmtId="186" fontId="6" fillId="0" borderId="0" xfId="86" applyNumberFormat="1" applyFont="1" applyAlignment="1" applyProtection="1">
      <alignment horizontal="center"/>
    </xf>
    <xf numFmtId="41" fontId="24" fillId="0" borderId="0" xfId="277" applyNumberFormat="1" applyFont="1" applyProtection="1"/>
    <xf numFmtId="43" fontId="24" fillId="0" borderId="0" xfId="86" applyFont="1" applyAlignment="1" applyProtection="1"/>
    <xf numFmtId="10" fontId="6" fillId="0" borderId="0" xfId="277" applyNumberFormat="1" applyFont="1" applyAlignment="1" applyProtection="1">
      <alignment horizontal="left"/>
    </xf>
    <xf numFmtId="168" fontId="6" fillId="0" borderId="0" xfId="277" applyNumberFormat="1" applyFont="1" applyAlignment="1" applyProtection="1">
      <alignment horizontal="left"/>
    </xf>
    <xf numFmtId="41" fontId="6" fillId="0" borderId="0" xfId="277" applyNumberFormat="1" applyFont="1" applyAlignment="1" applyProtection="1">
      <alignment horizontal="right"/>
    </xf>
    <xf numFmtId="179" fontId="6" fillId="0" borderId="0" xfId="277" applyNumberFormat="1" applyFont="1" applyProtection="1"/>
    <xf numFmtId="173" fontId="6" fillId="0" borderId="0" xfId="277" applyNumberFormat="1" applyFont="1" applyProtection="1"/>
    <xf numFmtId="164" fontId="6" fillId="0" borderId="0" xfId="277" applyNumberFormat="1" applyFont="1" applyAlignment="1" applyProtection="1">
      <alignment horizontal="left" vertical="center"/>
    </xf>
    <xf numFmtId="180" fontId="6" fillId="0" borderId="0" xfId="277" applyNumberFormat="1" applyFont="1" applyProtection="1"/>
    <xf numFmtId="173" fontId="6" fillId="0" borderId="14" xfId="86" applyNumberFormat="1" applyFont="1" applyBorder="1" applyAlignment="1" applyProtection="1"/>
    <xf numFmtId="0" fontId="7" fillId="0" borderId="0" xfId="277" applyNumberFormat="1" applyFont="1" applyProtection="1"/>
    <xf numFmtId="0" fontId="6" fillId="0" borderId="0" xfId="0" applyFont="1" applyAlignment="1">
      <alignment horizontal="left"/>
    </xf>
    <xf numFmtId="165" fontId="7" fillId="0" borderId="0" xfId="277" applyNumberFormat="1" applyFont="1" applyAlignment="1" applyProtection="1">
      <alignment horizontal="right"/>
    </xf>
    <xf numFmtId="3" fontId="6" fillId="0" borderId="0" xfId="277" applyNumberFormat="1" applyFont="1" applyAlignment="1" applyProtection="1">
      <alignment horizontal="center" wrapText="1"/>
    </xf>
    <xf numFmtId="173" fontId="6" fillId="0" borderId="0" xfId="86" applyNumberFormat="1" applyFont="1" applyFill="1" applyAlignment="1" applyProtection="1"/>
    <xf numFmtId="4" fontId="6" fillId="0" borderId="0" xfId="277" applyNumberFormat="1" applyFont="1" applyProtection="1"/>
    <xf numFmtId="172" fontId="7" fillId="0" borderId="0" xfId="277" applyFont="1" applyAlignment="1" applyProtection="1">
      <alignment horizontal="right"/>
    </xf>
    <xf numFmtId="165" fontId="7" fillId="0" borderId="0" xfId="277" applyNumberFormat="1" applyFont="1" applyProtection="1"/>
    <xf numFmtId="0" fontId="11" fillId="0" borderId="0" xfId="277" applyNumberFormat="1" applyFont="1" applyProtection="1"/>
    <xf numFmtId="3" fontId="6" fillId="0" borderId="6" xfId="277" applyNumberFormat="1" applyFont="1" applyBorder="1" applyAlignment="1" applyProtection="1">
      <alignment horizontal="center"/>
    </xf>
    <xf numFmtId="41" fontId="7" fillId="0" borderId="0" xfId="277" applyNumberFormat="1" applyFont="1" applyProtection="1"/>
    <xf numFmtId="0" fontId="15" fillId="0" borderId="0" xfId="277" applyNumberFormat="1" applyFont="1" applyAlignment="1" applyProtection="1">
      <alignment horizontal="left"/>
    </xf>
    <xf numFmtId="3" fontId="6" fillId="32" borderId="0" xfId="277" applyNumberFormat="1" applyFont="1" applyFill="1" applyProtection="1"/>
    <xf numFmtId="182" fontId="6" fillId="0" borderId="6" xfId="86" applyNumberFormat="1" applyFont="1" applyFill="1" applyBorder="1" applyAlignment="1" applyProtection="1">
      <alignment horizontal="center"/>
    </xf>
    <xf numFmtId="169" fontId="6" fillId="0" borderId="17" xfId="277" applyNumberFormat="1" applyFont="1" applyBorder="1" applyProtection="1"/>
    <xf numFmtId="169" fontId="6" fillId="0" borderId="0" xfId="277" applyNumberFormat="1" applyFont="1" applyProtection="1"/>
    <xf numFmtId="10" fontId="6" fillId="0" borderId="6" xfId="277" applyNumberFormat="1" applyFont="1" applyBorder="1" applyProtection="1"/>
    <xf numFmtId="182" fontId="13" fillId="0" borderId="0" xfId="86" applyNumberFormat="1" applyFont="1" applyFill="1" applyProtection="1"/>
    <xf numFmtId="0" fontId="4" fillId="31" borderId="0" xfId="277" applyNumberFormat="1" applyFill="1" applyAlignment="1" applyProtection="1">
      <alignment horizontal="center"/>
    </xf>
    <xf numFmtId="0" fontId="6" fillId="31" borderId="0" xfId="277" applyNumberFormat="1" applyFont="1" applyFill="1" applyAlignment="1" applyProtection="1">
      <alignment horizontal="center"/>
    </xf>
    <xf numFmtId="0" fontId="11" fillId="31" borderId="0" xfId="277" applyNumberFormat="1" applyFont="1" applyFill="1" applyProtection="1"/>
    <xf numFmtId="0" fontId="6" fillId="31" borderId="0" xfId="277" applyNumberFormat="1" applyFont="1" applyFill="1" applyAlignment="1" applyProtection="1">
      <alignment horizontal="left"/>
    </xf>
    <xf numFmtId="3" fontId="6" fillId="31" borderId="0" xfId="277" applyNumberFormat="1" applyFont="1" applyFill="1" applyProtection="1"/>
    <xf numFmtId="172" fontId="6" fillId="31" borderId="0" xfId="277" applyFont="1" applyFill="1" applyProtection="1"/>
    <xf numFmtId="3" fontId="7" fillId="31" borderId="0" xfId="277" applyNumberFormat="1" applyFont="1" applyFill="1" applyProtection="1"/>
    <xf numFmtId="166" fontId="7" fillId="31" borderId="0" xfId="277" applyNumberFormat="1" applyFont="1" applyFill="1" applyProtection="1"/>
    <xf numFmtId="0" fontId="6" fillId="31" borderId="0" xfId="277" applyNumberFormat="1" applyFont="1" applyFill="1" applyProtection="1"/>
    <xf numFmtId="3" fontId="6" fillId="31" borderId="6" xfId="277" applyNumberFormat="1" applyFont="1" applyFill="1" applyBorder="1" applyAlignment="1" applyProtection="1">
      <alignment horizontal="center"/>
    </xf>
    <xf numFmtId="41" fontId="6" fillId="31" borderId="0" xfId="277" applyNumberFormat="1" applyFont="1" applyFill="1" applyProtection="1"/>
    <xf numFmtId="0" fontId="15" fillId="31" borderId="0" xfId="277" applyNumberFormat="1" applyFont="1" applyFill="1" applyAlignment="1" applyProtection="1">
      <alignment horizontal="left"/>
    </xf>
    <xf numFmtId="0" fontId="0" fillId="31" borderId="0" xfId="0" applyFill="1"/>
    <xf numFmtId="0" fontId="33" fillId="31" borderId="0" xfId="0" applyFont="1" applyFill="1"/>
    <xf numFmtId="41" fontId="20" fillId="31" borderId="0" xfId="277" applyNumberFormat="1" applyFont="1" applyFill="1" applyProtection="1"/>
    <xf numFmtId="10" fontId="6" fillId="31" borderId="0" xfId="289" applyNumberFormat="1" applyFont="1" applyFill="1" applyAlignment="1" applyProtection="1"/>
    <xf numFmtId="41" fontId="20" fillId="31" borderId="6" xfId="277" applyNumberFormat="1" applyFont="1" applyFill="1" applyBorder="1" applyProtection="1"/>
    <xf numFmtId="3" fontId="24" fillId="31" borderId="0" xfId="277" applyNumberFormat="1" applyFont="1" applyFill="1" applyProtection="1"/>
    <xf numFmtId="0" fontId="6" fillId="31" borderId="6" xfId="277" applyNumberFormat="1" applyFont="1" applyFill="1" applyBorder="1" applyAlignment="1" applyProtection="1">
      <alignment horizontal="center"/>
    </xf>
    <xf numFmtId="182" fontId="6" fillId="31" borderId="6" xfId="86" applyNumberFormat="1" applyFont="1" applyFill="1" applyBorder="1" applyAlignment="1" applyProtection="1">
      <alignment horizontal="center"/>
    </xf>
    <xf numFmtId="10" fontId="6" fillId="31" borderId="0" xfId="277" applyNumberFormat="1" applyFont="1" applyFill="1" applyProtection="1"/>
    <xf numFmtId="169" fontId="24" fillId="31" borderId="0" xfId="277" applyNumberFormat="1" applyFont="1" applyFill="1" applyProtection="1"/>
    <xf numFmtId="169" fontId="6" fillId="31" borderId="17" xfId="277" applyNumberFormat="1" applyFont="1" applyFill="1" applyBorder="1" applyProtection="1"/>
    <xf numFmtId="169" fontId="6" fillId="31" borderId="0" xfId="277" applyNumberFormat="1" applyFont="1" applyFill="1" applyProtection="1"/>
    <xf numFmtId="41" fontId="6" fillId="31" borderId="6" xfId="277" applyNumberFormat="1" applyFont="1" applyFill="1" applyBorder="1" applyProtection="1"/>
    <xf numFmtId="169" fontId="6" fillId="31" borderId="6" xfId="277" applyNumberFormat="1" applyFont="1" applyFill="1" applyBorder="1" applyProtection="1"/>
    <xf numFmtId="182" fontId="23" fillId="31" borderId="0" xfId="86" applyNumberFormat="1" applyFont="1" applyFill="1" applyProtection="1"/>
    <xf numFmtId="3" fontId="7" fillId="31" borderId="0" xfId="277" applyNumberFormat="1" applyFont="1" applyFill="1" applyAlignment="1" applyProtection="1">
      <alignment horizontal="right"/>
    </xf>
    <xf numFmtId="169" fontId="7" fillId="31" borderId="0" xfId="277" applyNumberFormat="1" applyFont="1" applyFill="1" applyProtection="1"/>
    <xf numFmtId="172" fontId="4" fillId="0" borderId="0" xfId="277" applyAlignment="1" applyProtection="1">
      <alignment horizontal="center"/>
    </xf>
    <xf numFmtId="0" fontId="23" fillId="0" borderId="0" xfId="0" applyFont="1"/>
    <xf numFmtId="0" fontId="27" fillId="0" borderId="0" xfId="277" applyNumberFormat="1" applyFont="1" applyProtection="1"/>
    <xf numFmtId="0" fontId="108" fillId="0" borderId="0" xfId="277" applyNumberFormat="1" applyFont="1" applyProtection="1"/>
    <xf numFmtId="172" fontId="27" fillId="0" borderId="0" xfId="277" applyFont="1" applyProtection="1"/>
    <xf numFmtId="0" fontId="27" fillId="0" borderId="0" xfId="0" applyFont="1" applyAlignment="1">
      <alignment vertical="top" wrapText="1"/>
    </xf>
    <xf numFmtId="172" fontId="27" fillId="0" borderId="0" xfId="277" applyFont="1" applyAlignment="1" applyProtection="1">
      <alignment wrapText="1"/>
    </xf>
    <xf numFmtId="172" fontId="108" fillId="0" borderId="0" xfId="277" applyFont="1" applyProtection="1"/>
    <xf numFmtId="0" fontId="4" fillId="0" borderId="0" xfId="277" applyNumberFormat="1" applyProtection="1"/>
    <xf numFmtId="172" fontId="4" fillId="0" borderId="0" xfId="277" applyAlignment="1" applyProtection="1">
      <alignment horizontal="center" wrapText="1"/>
    </xf>
    <xf numFmtId="0" fontId="6" fillId="32" borderId="0" xfId="277" applyNumberFormat="1" applyFont="1" applyFill="1" applyAlignment="1" applyProtection="1">
      <alignment vertical="top" wrapText="1"/>
    </xf>
    <xf numFmtId="0" fontId="13" fillId="32" borderId="0" xfId="0" applyFont="1" applyFill="1"/>
    <xf numFmtId="0" fontId="94" fillId="0" borderId="0" xfId="277" applyNumberFormat="1" applyFont="1" applyAlignment="1" applyProtection="1">
      <alignment horizontal="center"/>
    </xf>
    <xf numFmtId="172" fontId="24" fillId="0" borderId="0" xfId="277" applyFont="1" applyAlignment="1" applyProtection="1">
      <alignment wrapText="1"/>
    </xf>
    <xf numFmtId="173" fontId="20" fillId="0" borderId="0" xfId="86" applyNumberFormat="1" applyFont="1" applyFill="1" applyAlignment="1" applyProtection="1">
      <alignment horizontal="right"/>
    </xf>
    <xf numFmtId="10" fontId="20" fillId="30" borderId="0" xfId="289" applyNumberFormat="1" applyFont="1" applyFill="1" applyAlignment="1" applyProtection="1">
      <protection locked="0"/>
    </xf>
    <xf numFmtId="0" fontId="20" fillId="30" borderId="0" xfId="86" applyNumberFormat="1" applyFont="1" applyFill="1" applyAlignment="1" applyProtection="1">
      <protection locked="0"/>
    </xf>
    <xf numFmtId="0" fontId="13" fillId="0" borderId="0" xfId="220"/>
    <xf numFmtId="0" fontId="13" fillId="0" borderId="0" xfId="220" applyAlignment="1">
      <alignment horizontal="center"/>
    </xf>
    <xf numFmtId="0" fontId="18" fillId="0" borderId="0" xfId="270" applyFont="1" applyAlignment="1">
      <alignment horizontal="center"/>
    </xf>
    <xf numFmtId="0" fontId="13" fillId="0" borderId="0" xfId="220" applyAlignment="1">
      <alignment horizontal="center" wrapText="1"/>
    </xf>
    <xf numFmtId="0" fontId="10" fillId="0" borderId="0" xfId="220" applyFont="1" applyAlignment="1">
      <alignment horizontal="left"/>
    </xf>
    <xf numFmtId="3" fontId="13" fillId="0" borderId="0" xfId="220" applyNumberFormat="1"/>
    <xf numFmtId="173" fontId="0" fillId="0" borderId="0" xfId="86" applyNumberFormat="1" applyFont="1" applyFill="1" applyProtection="1"/>
    <xf numFmtId="173" fontId="13" fillId="0" borderId="0" xfId="89" applyNumberFormat="1" applyFont="1" applyFill="1" applyBorder="1" applyAlignment="1" applyProtection="1">
      <alignment horizontal="right"/>
    </xf>
    <xf numFmtId="0" fontId="13" fillId="0" borderId="0" xfId="220" applyAlignment="1">
      <alignment horizontal="left"/>
    </xf>
    <xf numFmtId="0" fontId="8" fillId="0" borderId="0" xfId="220" applyFont="1" applyAlignment="1">
      <alignment horizontal="left"/>
    </xf>
    <xf numFmtId="173" fontId="9" fillId="30" borderId="0" xfId="89" applyNumberFormat="1" applyFont="1" applyFill="1" applyBorder="1" applyAlignment="1" applyProtection="1">
      <alignment horizontal="right"/>
      <protection locked="0"/>
    </xf>
    <xf numFmtId="0" fontId="10" fillId="0" borderId="0" xfId="220" applyFont="1" applyAlignment="1">
      <alignment horizontal="center"/>
    </xf>
    <xf numFmtId="0" fontId="10" fillId="0" borderId="0" xfId="220" applyFont="1"/>
    <xf numFmtId="0" fontId="14" fillId="0" borderId="0" xfId="0" applyFont="1"/>
    <xf numFmtId="3" fontId="14" fillId="0" borderId="0" xfId="220" applyNumberFormat="1" applyFont="1" applyAlignment="1">
      <alignment horizontal="center"/>
    </xf>
    <xf numFmtId="0" fontId="18" fillId="0" borderId="0" xfId="220" applyFont="1" applyAlignment="1">
      <alignment horizontal="center"/>
    </xf>
    <xf numFmtId="0" fontId="14" fillId="0" borderId="0" xfId="220" applyFont="1" applyAlignment="1">
      <alignment horizontal="left"/>
    </xf>
    <xf numFmtId="173" fontId="14" fillId="0" borderId="0" xfId="89" applyNumberFormat="1" applyFont="1" applyFill="1" applyBorder="1" applyAlignment="1" applyProtection="1">
      <alignment horizontal="right"/>
    </xf>
    <xf numFmtId="164" fontId="13" fillId="0" borderId="0" xfId="291" applyNumberFormat="1" applyFont="1" applyFill="1" applyBorder="1" applyAlignment="1" applyProtection="1"/>
    <xf numFmtId="173" fontId="13" fillId="0" borderId="0" xfId="89" applyNumberFormat="1" applyFont="1" applyFill="1" applyBorder="1" applyAlignment="1" applyProtection="1">
      <alignment horizontal="left"/>
    </xf>
    <xf numFmtId="0" fontId="9" fillId="0" borderId="0" xfId="220" applyFont="1"/>
    <xf numFmtId="0" fontId="88" fillId="0" borderId="0" xfId="0" applyFont="1" applyAlignment="1">
      <alignment horizontal="center"/>
    </xf>
    <xf numFmtId="0" fontId="13" fillId="25" borderId="0" xfId="220" applyFill="1" applyAlignment="1">
      <alignment horizontal="center"/>
    </xf>
    <xf numFmtId="0" fontId="10" fillId="25" borderId="0" xfId="220" applyFont="1" applyFill="1" applyAlignment="1">
      <alignment horizontal="left"/>
    </xf>
    <xf numFmtId="0" fontId="9" fillId="25" borderId="0" xfId="220" applyFont="1" applyFill="1"/>
    <xf numFmtId="0" fontId="13" fillId="25" borderId="0" xfId="220" applyFill="1" applyAlignment="1">
      <alignment horizontal="left"/>
    </xf>
    <xf numFmtId="0" fontId="13" fillId="25" borderId="0" xfId="220" applyFill="1"/>
    <xf numFmtId="173" fontId="13" fillId="25" borderId="0" xfId="89" applyNumberFormat="1" applyFont="1" applyFill="1" applyBorder="1" applyAlignment="1" applyProtection="1">
      <alignment horizontal="right"/>
    </xf>
    <xf numFmtId="0" fontId="0" fillId="25" borderId="0" xfId="0" applyFill="1"/>
    <xf numFmtId="164" fontId="13" fillId="25" borderId="0" xfId="291" applyNumberFormat="1" applyFont="1" applyFill="1" applyBorder="1" applyAlignment="1" applyProtection="1"/>
    <xf numFmtId="173" fontId="13" fillId="25" borderId="0" xfId="89" applyNumberFormat="1" applyFont="1" applyFill="1" applyBorder="1" applyAlignment="1" applyProtection="1">
      <alignment horizontal="left"/>
    </xf>
    <xf numFmtId="0" fontId="82" fillId="0" borderId="0" xfId="220" applyFont="1" applyAlignment="1">
      <alignment horizontal="left"/>
    </xf>
    <xf numFmtId="9" fontId="10" fillId="0" borderId="0" xfId="270" quotePrefix="1" applyNumberFormat="1" applyFont="1" applyAlignment="1">
      <alignment horizontal="center"/>
    </xf>
    <xf numFmtId="0" fontId="70" fillId="0" borderId="0" xfId="270" applyFont="1" applyAlignment="1">
      <alignment horizontal="center"/>
    </xf>
    <xf numFmtId="0" fontId="87" fillId="0" borderId="0" xfId="270" applyFont="1" applyAlignment="1">
      <alignment horizontal="center"/>
    </xf>
    <xf numFmtId="38" fontId="13" fillId="0" borderId="0" xfId="220" applyNumberFormat="1" applyAlignment="1">
      <alignment horizontal="right"/>
    </xf>
    <xf numFmtId="37" fontId="13" fillId="0" borderId="0" xfId="220" applyNumberFormat="1" applyAlignment="1">
      <alignment horizontal="right"/>
    </xf>
    <xf numFmtId="0" fontId="13" fillId="0" borderId="0" xfId="220" applyAlignment="1">
      <alignment horizontal="right"/>
    </xf>
    <xf numFmtId="38" fontId="13" fillId="0" borderId="0" xfId="0" applyNumberFormat="1" applyFont="1" applyAlignment="1">
      <alignment horizontal="right"/>
    </xf>
    <xf numFmtId="38" fontId="9" fillId="0" borderId="0" xfId="220" applyNumberFormat="1" applyFont="1"/>
    <xf numFmtId="37" fontId="9" fillId="0" borderId="0" xfId="220" applyNumberFormat="1" applyFont="1"/>
    <xf numFmtId="173" fontId="9" fillId="0" borderId="14" xfId="86" applyNumberFormat="1" applyFont="1" applyFill="1" applyBorder="1" applyAlignment="1" applyProtection="1"/>
    <xf numFmtId="0" fontId="13" fillId="0" borderId="14" xfId="220" applyBorder="1" applyAlignment="1">
      <alignment horizontal="left"/>
    </xf>
    <xf numFmtId="173" fontId="13" fillId="0" borderId="14" xfId="89" applyNumberFormat="1" applyFont="1" applyFill="1" applyBorder="1" applyAlignment="1" applyProtection="1">
      <alignment horizontal="right"/>
    </xf>
    <xf numFmtId="0" fontId="81" fillId="0" borderId="0" xfId="270" applyFont="1"/>
    <xf numFmtId="173" fontId="3" fillId="0" borderId="0" xfId="86" applyNumberFormat="1" applyProtection="1"/>
    <xf numFmtId="173" fontId="3" fillId="0" borderId="0" xfId="86" applyNumberFormat="1" applyFill="1" applyProtection="1"/>
    <xf numFmtId="173" fontId="13" fillId="0" borderId="0" xfId="86" applyNumberFormat="1" applyFont="1" applyFill="1" applyProtection="1"/>
    <xf numFmtId="173" fontId="3" fillId="0" borderId="0" xfId="86" applyNumberFormat="1" applyFont="1" applyFill="1" applyProtection="1"/>
    <xf numFmtId="0" fontId="10" fillId="0" borderId="0" xfId="270" applyFont="1"/>
    <xf numFmtId="38" fontId="13" fillId="0" borderId="17" xfId="0" applyNumberFormat="1" applyFont="1" applyBorder="1"/>
    <xf numFmtId="37" fontId="13" fillId="0" borderId="17" xfId="0" applyNumberFormat="1" applyFont="1" applyBorder="1"/>
    <xf numFmtId="0" fontId="153" fillId="0" borderId="0" xfId="220" applyFont="1"/>
    <xf numFmtId="0" fontId="33" fillId="0" borderId="0" xfId="270" applyFont="1" applyAlignment="1">
      <alignment horizontal="left"/>
    </xf>
    <xf numFmtId="0" fontId="97" fillId="0" borderId="0" xfId="270" applyFont="1" applyAlignment="1">
      <alignment horizontal="center"/>
    </xf>
    <xf numFmtId="0" fontId="98" fillId="0" borderId="0" xfId="270" applyFont="1"/>
    <xf numFmtId="37" fontId="0" fillId="0" borderId="0" xfId="0" applyNumberFormat="1"/>
    <xf numFmtId="37" fontId="9" fillId="30" borderId="0" xfId="0" applyNumberFormat="1" applyFont="1" applyFill="1" applyProtection="1">
      <protection locked="0"/>
    </xf>
    <xf numFmtId="0" fontId="3" fillId="0" borderId="0" xfId="0" applyFont="1" applyAlignment="1">
      <alignment horizontal="center"/>
    </xf>
    <xf numFmtId="0" fontId="122" fillId="0" borderId="0" xfId="0" applyFont="1" applyAlignment="1">
      <alignment horizontal="center"/>
    </xf>
    <xf numFmtId="0" fontId="122" fillId="0" borderId="0" xfId="0" applyFont="1" applyAlignment="1">
      <alignment horizontal="left"/>
    </xf>
    <xf numFmtId="0" fontId="122"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10" fillId="0" borderId="0" xfId="277" applyFont="1" applyProtection="1"/>
    <xf numFmtId="0" fontId="121" fillId="0" borderId="0" xfId="0" applyFont="1" applyAlignment="1">
      <alignment horizontal="center"/>
    </xf>
    <xf numFmtId="174" fontId="13" fillId="0" borderId="0" xfId="86" applyNumberFormat="1" applyFont="1" applyFill="1" applyProtection="1"/>
    <xf numFmtId="174" fontId="0" fillId="0" borderId="0" xfId="0" applyNumberFormat="1"/>
    <xf numFmtId="43" fontId="9" fillId="30" borderId="0" xfId="0" applyNumberFormat="1" applyFont="1" applyFill="1" applyProtection="1">
      <protection locked="0"/>
    </xf>
    <xf numFmtId="0" fontId="4" fillId="0" borderId="0" xfId="0" applyFont="1"/>
    <xf numFmtId="0" fontId="4" fillId="0" borderId="0" xfId="282" applyFont="1"/>
    <xf numFmtId="0" fontId="4" fillId="0" borderId="0" xfId="282" applyFont="1" applyAlignment="1">
      <alignment horizontal="right"/>
    </xf>
    <xf numFmtId="0" fontId="11" fillId="0" borderId="0" xfId="282" applyFont="1" applyAlignment="1">
      <alignment horizontal="center"/>
    </xf>
    <xf numFmtId="0" fontId="6" fillId="0" borderId="0" xfId="282" applyFont="1"/>
    <xf numFmtId="0" fontId="83" fillId="0" borderId="0" xfId="282" applyFont="1"/>
    <xf numFmtId="0" fontId="27" fillId="0" borderId="0" xfId="0" applyFont="1" applyAlignment="1">
      <alignment horizontal="center"/>
    </xf>
    <xf numFmtId="0" fontId="4" fillId="0" borderId="0" xfId="0" applyFont="1" applyAlignment="1">
      <alignment horizontal="right"/>
    </xf>
    <xf numFmtId="0" fontId="7" fillId="0" borderId="0" xfId="282" applyFont="1"/>
    <xf numFmtId="0" fontId="27" fillId="0" borderId="0" xfId="282" applyFont="1" applyAlignment="1">
      <alignment horizontal="center"/>
    </xf>
    <xf numFmtId="0" fontId="10" fillId="0" borderId="0" xfId="282" applyFont="1" applyAlignment="1">
      <alignment horizontal="center"/>
    </xf>
    <xf numFmtId="0" fontId="10" fillId="0" borderId="0" xfId="282" applyFont="1"/>
    <xf numFmtId="0" fontId="102" fillId="0" borderId="0" xfId="0" applyFont="1"/>
    <xf numFmtId="0" fontId="102" fillId="0" borderId="0" xfId="282" applyFont="1"/>
    <xf numFmtId="0" fontId="13" fillId="0" borderId="0" xfId="282" applyFont="1"/>
    <xf numFmtId="173" fontId="13" fillId="0" borderId="0" xfId="282" applyNumberFormat="1" applyFont="1"/>
    <xf numFmtId="172" fontId="13" fillId="0" borderId="0" xfId="282" applyNumberFormat="1" applyFont="1" applyAlignment="1">
      <alignment horizontal="center"/>
    </xf>
    <xf numFmtId="43" fontId="13" fillId="0" borderId="0" xfId="118" applyFont="1" applyFill="1" applyProtection="1"/>
    <xf numFmtId="0" fontId="95" fillId="0" borderId="0" xfId="282" applyFont="1"/>
    <xf numFmtId="185" fontId="13" fillId="0" borderId="0" xfId="0" applyNumberFormat="1" applyFont="1"/>
    <xf numFmtId="173" fontId="13" fillId="0" borderId="13" xfId="0" applyNumberFormat="1" applyFont="1" applyBorder="1"/>
    <xf numFmtId="173" fontId="13" fillId="0" borderId="13" xfId="282" applyNumberFormat="1" applyFont="1" applyBorder="1"/>
    <xf numFmtId="0" fontId="27" fillId="0" borderId="0" xfId="282" applyFont="1"/>
    <xf numFmtId="43" fontId="6" fillId="0" borderId="0" xfId="118" applyFont="1" applyFill="1" applyProtection="1"/>
    <xf numFmtId="173" fontId="6" fillId="0" borderId="0" xfId="282" applyNumberFormat="1" applyFont="1"/>
    <xf numFmtId="0" fontId="7" fillId="0" borderId="0" xfId="0" applyFont="1" applyAlignment="1">
      <alignment horizontal="center"/>
    </xf>
    <xf numFmtId="173" fontId="9" fillId="30" borderId="0" xfId="118" applyNumberFormat="1" applyFont="1" applyFill="1" applyProtection="1">
      <protection locked="0"/>
    </xf>
    <xf numFmtId="41" fontId="20" fillId="30" borderId="0" xfId="270" applyNumberFormat="1" applyFont="1" applyFill="1" applyProtection="1">
      <protection locked="0"/>
    </xf>
    <xf numFmtId="3" fontId="20" fillId="30" borderId="0" xfId="0" applyNumberFormat="1" applyFont="1" applyFill="1" applyProtection="1">
      <protection locked="0"/>
    </xf>
    <xf numFmtId="41" fontId="28" fillId="30" borderId="0" xfId="270" applyNumberFormat="1" applyFont="1" applyFill="1" applyProtection="1">
      <protection locked="0"/>
    </xf>
    <xf numFmtId="0" fontId="19" fillId="0" borderId="0" xfId="0" applyFont="1"/>
    <xf numFmtId="0" fontId="19" fillId="0" borderId="0" xfId="0" applyFont="1" applyAlignment="1">
      <alignment horizontal="right"/>
    </xf>
    <xf numFmtId="0" fontId="6" fillId="0" borderId="0" xfId="0" applyFont="1" applyAlignment="1">
      <alignment horizontal="center" wrapText="1"/>
    </xf>
    <xf numFmtId="37" fontId="6" fillId="0" borderId="0" xfId="0" applyNumberFormat="1" applyFont="1"/>
    <xf numFmtId="37" fontId="6" fillId="0" borderId="0" xfId="0" applyNumberFormat="1" applyFont="1" applyAlignment="1">
      <alignment horizontal="center"/>
    </xf>
    <xf numFmtId="0" fontId="16" fillId="0" borderId="0" xfId="0" applyFont="1"/>
    <xf numFmtId="10" fontId="6" fillId="0" borderId="0" xfId="0" applyNumberFormat="1" applyFont="1"/>
    <xf numFmtId="176" fontId="6" fillId="0" borderId="0" xfId="0" applyNumberFormat="1" applyFont="1"/>
    <xf numFmtId="10" fontId="6" fillId="0" borderId="14" xfId="0" applyNumberFormat="1" applyFont="1" applyBorder="1"/>
    <xf numFmtId="10" fontId="20" fillId="30" borderId="0" xfId="0" applyNumberFormat="1" applyFont="1" applyFill="1" applyProtection="1">
      <protection locked="0"/>
    </xf>
    <xf numFmtId="10" fontId="20" fillId="30" borderId="11" xfId="0" applyNumberFormat="1" applyFont="1" applyFill="1" applyBorder="1" applyProtection="1">
      <protection locked="0"/>
    </xf>
    <xf numFmtId="0" fontId="6" fillId="30" borderId="0" xfId="0" applyFont="1" applyFill="1" applyProtection="1">
      <protection locked="0"/>
    </xf>
    <xf numFmtId="0" fontId="6" fillId="0" borderId="0" xfId="278" applyFont="1"/>
    <xf numFmtId="0" fontId="10" fillId="0" borderId="0" xfId="278" applyFont="1"/>
    <xf numFmtId="0" fontId="75" fillId="0" borderId="11" xfId="278" applyFont="1" applyBorder="1" applyAlignment="1">
      <alignment horizontal="center"/>
    </xf>
    <xf numFmtId="0" fontId="10" fillId="0" borderId="0" xfId="278" applyFont="1" applyAlignment="1">
      <alignment horizontal="center"/>
    </xf>
    <xf numFmtId="185" fontId="73" fillId="0" borderId="0" xfId="278" applyNumberFormat="1" applyFont="1"/>
    <xf numFmtId="185" fontId="19" fillId="0" borderId="0" xfId="278" applyNumberFormat="1" applyFont="1"/>
    <xf numFmtId="173" fontId="6" fillId="0" borderId="0" xfId="278" applyNumberFormat="1" applyFont="1"/>
    <xf numFmtId="173" fontId="77" fillId="0" borderId="0" xfId="278" applyNumberFormat="1" applyFont="1"/>
    <xf numFmtId="185" fontId="6" fillId="0" borderId="0" xfId="278" applyNumberFormat="1" applyFont="1"/>
    <xf numFmtId="173" fontId="77" fillId="0" borderId="0" xfId="86" applyNumberFormat="1" applyFont="1" applyProtection="1"/>
    <xf numFmtId="0" fontId="117" fillId="0" borderId="0" xfId="277" applyNumberFormat="1" applyFont="1" applyProtection="1"/>
    <xf numFmtId="173" fontId="118" fillId="0" borderId="0" xfId="278" applyNumberFormat="1" applyFont="1"/>
    <xf numFmtId="185" fontId="119" fillId="0" borderId="0" xfId="278" applyNumberFormat="1" applyFont="1"/>
    <xf numFmtId="173" fontId="118" fillId="0" borderId="0" xfId="86" applyNumberFormat="1" applyFont="1" applyProtection="1"/>
    <xf numFmtId="173" fontId="100" fillId="0" borderId="0" xfId="278" applyNumberFormat="1" applyFont="1"/>
    <xf numFmtId="43" fontId="72" fillId="0" borderId="0" xfId="86" applyFont="1" applyProtection="1"/>
    <xf numFmtId="43" fontId="77" fillId="0" borderId="0" xfId="86" applyFont="1" applyProtection="1"/>
    <xf numFmtId="173" fontId="6" fillId="0" borderId="0" xfId="86" applyNumberFormat="1" applyFont="1" applyProtection="1"/>
    <xf numFmtId="173" fontId="72" fillId="0" borderId="14" xfId="86" applyNumberFormat="1" applyFont="1" applyBorder="1" applyProtection="1"/>
    <xf numFmtId="0" fontId="75" fillId="0" borderId="0" xfId="278" applyFont="1" applyAlignment="1">
      <alignment horizontal="center" wrapText="1"/>
    </xf>
    <xf numFmtId="0" fontId="80" fillId="0" borderId="0" xfId="278" applyFont="1" applyAlignment="1">
      <alignment horizontal="center"/>
    </xf>
    <xf numFmtId="41" fontId="100" fillId="0" borderId="0" xfId="278" applyNumberFormat="1" applyFont="1"/>
    <xf numFmtId="41" fontId="72" fillId="0" borderId="0" xfId="278" applyNumberFormat="1" applyFont="1"/>
    <xf numFmtId="10" fontId="72" fillId="0" borderId="0" xfId="289" applyNumberFormat="1" applyFont="1" applyFill="1" applyProtection="1"/>
    <xf numFmtId="164" fontId="72" fillId="0" borderId="0" xfId="289" applyNumberFormat="1" applyFont="1" applyFill="1" applyProtection="1"/>
    <xf numFmtId="187" fontId="13" fillId="0" borderId="0" xfId="289" applyNumberFormat="1" applyFont="1" applyFill="1" applyProtection="1"/>
    <xf numFmtId="41" fontId="85" fillId="28" borderId="0" xfId="278" applyNumberFormat="1" applyFont="1" applyFill="1"/>
    <xf numFmtId="10" fontId="72" fillId="0" borderId="11" xfId="289" applyNumberFormat="1" applyFont="1" applyFill="1" applyBorder="1" applyProtection="1"/>
    <xf numFmtId="173" fontId="72" fillId="0" borderId="0" xfId="86" applyNumberFormat="1" applyFont="1" applyFill="1" applyProtection="1"/>
    <xf numFmtId="10" fontId="72" fillId="0" borderId="0" xfId="289" applyNumberFormat="1" applyFont="1" applyFill="1" applyBorder="1" applyProtection="1"/>
    <xf numFmtId="173" fontId="72" fillId="0" borderId="0" xfId="86" applyNumberFormat="1" applyFont="1" applyFill="1" applyBorder="1" applyProtection="1"/>
    <xf numFmtId="173" fontId="13" fillId="0" borderId="0" xfId="278" applyNumberFormat="1" applyFont="1"/>
    <xf numFmtId="173" fontId="72" fillId="0" borderId="18" xfId="86" applyNumberFormat="1" applyFont="1" applyFill="1" applyBorder="1" applyProtection="1"/>
    <xf numFmtId="0" fontId="75" fillId="30" borderId="0" xfId="278" applyFont="1" applyFill="1" applyProtection="1">
      <protection locked="0"/>
    </xf>
    <xf numFmtId="0" fontId="100" fillId="30" borderId="0" xfId="278" applyFont="1" applyFill="1" applyProtection="1">
      <protection locked="0"/>
    </xf>
    <xf numFmtId="0" fontId="72" fillId="30" borderId="0" xfId="278" applyFont="1" applyFill="1" applyProtection="1">
      <protection locked="0"/>
    </xf>
    <xf numFmtId="10" fontId="79" fillId="30" borderId="11" xfId="289" applyNumberFormat="1" applyFont="1" applyFill="1" applyBorder="1" applyProtection="1">
      <protection locked="0"/>
    </xf>
    <xf numFmtId="173" fontId="79" fillId="30" borderId="0" xfId="278" applyNumberFormat="1" applyFont="1" applyFill="1" applyProtection="1">
      <protection locked="0"/>
    </xf>
    <xf numFmtId="0" fontId="12" fillId="0" borderId="0" xfId="0" applyFont="1"/>
    <xf numFmtId="0" fontId="19" fillId="0" borderId="0" xfId="0" applyFont="1" applyAlignment="1">
      <alignment horizontal="left"/>
    </xf>
    <xf numFmtId="0" fontId="67" fillId="0" borderId="0" xfId="0" applyFont="1"/>
    <xf numFmtId="0" fontId="0" fillId="0" borderId="0" xfId="0" applyAlignment="1">
      <alignment wrapText="1"/>
    </xf>
    <xf numFmtId="0" fontId="7" fillId="0" borderId="0" xfId="0" applyFont="1" applyAlignment="1">
      <alignment horizontal="left"/>
    </xf>
    <xf numFmtId="0" fontId="13" fillId="0" borderId="0" xfId="277" applyNumberFormat="1" applyFont="1" applyProtection="1"/>
    <xf numFmtId="3" fontId="13" fillId="0" borderId="0" xfId="277" applyNumberFormat="1" applyFont="1" applyProtection="1"/>
    <xf numFmtId="10" fontId="3" fillId="0" borderId="0" xfId="289" applyNumberFormat="1" applyAlignment="1" applyProtection="1">
      <alignment horizontal="right"/>
    </xf>
    <xf numFmtId="172" fontId="13" fillId="0" borderId="0" xfId="277" applyFont="1" applyProtection="1"/>
    <xf numFmtId="10" fontId="13" fillId="0" borderId="0" xfId="289" applyNumberFormat="1" applyFont="1" applyFill="1" applyAlignment="1" applyProtection="1">
      <alignment horizontal="right"/>
    </xf>
    <xf numFmtId="3" fontId="10" fillId="0" borderId="0" xfId="277" applyNumberFormat="1" applyFont="1" applyProtection="1"/>
    <xf numFmtId="10" fontId="13" fillId="0" borderId="0" xfId="277" applyNumberFormat="1" applyFont="1" applyAlignment="1" applyProtection="1">
      <alignment horizontal="right"/>
    </xf>
    <xf numFmtId="3" fontId="14" fillId="0" borderId="0" xfId="277" applyNumberFormat="1" applyFont="1" applyAlignment="1" applyProtection="1">
      <alignment horizontal="center"/>
    </xf>
    <xf numFmtId="10" fontId="14" fillId="0" borderId="0" xfId="277" applyNumberFormat="1" applyFont="1" applyAlignment="1" applyProtection="1">
      <alignment horizontal="center"/>
    </xf>
    <xf numFmtId="0" fontId="13" fillId="0" borderId="0" xfId="277" applyNumberFormat="1" applyFont="1" applyAlignment="1" applyProtection="1">
      <alignment horizontal="right"/>
    </xf>
    <xf numFmtId="10" fontId="0" fillId="0" borderId="0" xfId="0" applyNumberFormat="1" applyAlignment="1">
      <alignment horizontal="center"/>
    </xf>
    <xf numFmtId="164" fontId="13" fillId="0" borderId="0" xfId="289" applyNumberFormat="1" applyFont="1" applyAlignment="1" applyProtection="1"/>
    <xf numFmtId="166" fontId="13" fillId="0" borderId="0" xfId="277" applyNumberFormat="1" applyFont="1" applyAlignment="1" applyProtection="1">
      <alignment horizontal="center"/>
    </xf>
    <xf numFmtId="41" fontId="13" fillId="0" borderId="0" xfId="277" applyNumberFormat="1" applyFont="1" applyProtection="1"/>
    <xf numFmtId="41" fontId="13" fillId="0" borderId="0" xfId="277" applyNumberFormat="1" applyFont="1" applyAlignment="1" applyProtection="1">
      <alignment horizontal="center"/>
    </xf>
    <xf numFmtId="164" fontId="14" fillId="0" borderId="0" xfId="289" applyNumberFormat="1" applyFont="1" applyAlignment="1" applyProtection="1"/>
    <xf numFmtId="3" fontId="13" fillId="0" borderId="0" xfId="277" applyNumberFormat="1" applyFont="1" applyAlignment="1" applyProtection="1">
      <alignment horizontal="right"/>
    </xf>
    <xf numFmtId="172" fontId="3" fillId="0" borderId="19" xfId="277" applyFont="1" applyBorder="1" applyProtection="1"/>
    <xf numFmtId="0" fontId="3" fillId="0" borderId="0" xfId="277" applyNumberFormat="1" applyFont="1" applyAlignment="1" applyProtection="1">
      <alignment horizontal="center"/>
    </xf>
    <xf numFmtId="172" fontId="3" fillId="0" borderId="0" xfId="277" applyFont="1" applyProtection="1"/>
    <xf numFmtId="3" fontId="3" fillId="0" borderId="20" xfId="277" applyNumberFormat="1" applyFont="1" applyBorder="1" applyProtection="1"/>
    <xf numFmtId="10" fontId="13" fillId="0" borderId="0" xfId="277" applyNumberFormat="1" applyFont="1" applyAlignment="1" applyProtection="1">
      <alignment horizontal="left"/>
    </xf>
    <xf numFmtId="0" fontId="3" fillId="0" borderId="19" xfId="0" applyFont="1" applyBorder="1"/>
    <xf numFmtId="0" fontId="3" fillId="0" borderId="20" xfId="0" applyFont="1" applyBorder="1"/>
    <xf numFmtId="166" fontId="3" fillId="0" borderId="21" xfId="277" applyNumberFormat="1" applyFont="1" applyBorder="1" applyAlignment="1" applyProtection="1">
      <alignment horizontal="center"/>
    </xf>
    <xf numFmtId="0" fontId="3" fillId="0" borderId="6" xfId="277" applyNumberFormat="1" applyFont="1" applyBorder="1" applyAlignment="1" applyProtection="1">
      <alignment horizontal="center"/>
    </xf>
    <xf numFmtId="174" fontId="3" fillId="0" borderId="22" xfId="0" applyNumberFormat="1" applyFont="1" applyBorder="1"/>
    <xf numFmtId="41" fontId="3" fillId="0" borderId="0" xfId="277" applyNumberFormat="1" applyFont="1" applyProtection="1"/>
    <xf numFmtId="173" fontId="3" fillId="0" borderId="0" xfId="277" applyNumberFormat="1" applyFont="1" applyAlignment="1" applyProtection="1">
      <alignment horizontal="center"/>
    </xf>
    <xf numFmtId="41" fontId="13" fillId="0" borderId="0" xfId="277" applyNumberFormat="1" applyFont="1" applyAlignment="1" applyProtection="1">
      <alignment horizontal="left"/>
    </xf>
    <xf numFmtId="41" fontId="3" fillId="0" borderId="0" xfId="277" applyNumberFormat="1" applyFont="1" applyAlignment="1" applyProtection="1">
      <alignment horizontal="right"/>
    </xf>
    <xf numFmtId="167" fontId="13" fillId="0" borderId="0" xfId="277" applyNumberFormat="1" applyFont="1" applyProtection="1"/>
    <xf numFmtId="164" fontId="13" fillId="0" borderId="0" xfId="277" applyNumberFormat="1" applyFont="1" applyAlignment="1" applyProtection="1">
      <alignment horizontal="left"/>
    </xf>
    <xf numFmtId="3" fontId="13" fillId="0" borderId="0" xfId="277" applyNumberFormat="1" applyFont="1" applyAlignment="1" applyProtection="1">
      <alignment vertical="center" wrapText="1"/>
    </xf>
    <xf numFmtId="41" fontId="13" fillId="0" borderId="0" xfId="277" applyNumberFormat="1" applyFont="1" applyAlignment="1" applyProtection="1">
      <alignment vertical="center"/>
    </xf>
    <xf numFmtId="41" fontId="13" fillId="0" borderId="0" xfId="277" applyNumberFormat="1" applyFont="1" applyAlignment="1" applyProtection="1">
      <alignment horizontal="center" vertical="center"/>
    </xf>
    <xf numFmtId="41" fontId="13" fillId="0" borderId="0" xfId="277" applyNumberFormat="1" applyFont="1" applyAlignment="1" applyProtection="1">
      <alignment horizontal="right"/>
    </xf>
    <xf numFmtId="10" fontId="13" fillId="0" borderId="0" xfId="0" applyNumberFormat="1" applyFont="1"/>
    <xf numFmtId="173" fontId="13" fillId="0" borderId="0" xfId="86" applyNumberFormat="1" applyFont="1" applyProtection="1"/>
    <xf numFmtId="41" fontId="13" fillId="0" borderId="0" xfId="0" applyNumberFormat="1" applyFont="1"/>
    <xf numFmtId="41" fontId="13" fillId="0" borderId="6" xfId="277" applyNumberFormat="1" applyFont="1" applyBorder="1" applyProtection="1"/>
    <xf numFmtId="0" fontId="13" fillId="32" borderId="0" xfId="277" applyNumberFormat="1" applyFont="1" applyFill="1" applyProtection="1"/>
    <xf numFmtId="41" fontId="14" fillId="0" borderId="0" xfId="277" applyNumberFormat="1" applyFont="1" applyProtection="1"/>
    <xf numFmtId="3" fontId="13" fillId="0" borderId="0" xfId="277" applyNumberFormat="1" applyFont="1" applyAlignment="1" applyProtection="1">
      <alignment horizontal="center"/>
    </xf>
    <xf numFmtId="0" fontId="13" fillId="0" borderId="0" xfId="277" applyNumberFormat="1" applyFont="1" applyAlignment="1" applyProtection="1">
      <alignment horizontal="center"/>
    </xf>
    <xf numFmtId="10" fontId="13" fillId="0" borderId="0" xfId="277" applyNumberFormat="1" applyFont="1" applyProtection="1"/>
    <xf numFmtId="169" fontId="13" fillId="0" borderId="0" xfId="277" applyNumberFormat="1" applyFont="1" applyProtection="1"/>
    <xf numFmtId="169" fontId="10" fillId="0" borderId="0" xfId="277" applyNumberFormat="1" applyFont="1" applyProtection="1"/>
    <xf numFmtId="41" fontId="14" fillId="0" borderId="0" xfId="0" applyNumberFormat="1" applyFont="1"/>
    <xf numFmtId="4" fontId="13" fillId="0" borderId="0" xfId="277" applyNumberFormat="1" applyFont="1" applyProtection="1"/>
    <xf numFmtId="10" fontId="14" fillId="0" borderId="0" xfId="0" applyNumberFormat="1" applyFont="1"/>
    <xf numFmtId="173" fontId="13" fillId="0" borderId="0" xfId="86" applyNumberFormat="1" applyFont="1" applyBorder="1" applyProtection="1"/>
    <xf numFmtId="43" fontId="13" fillId="0" borderId="0" xfId="86" applyFont="1" applyProtection="1"/>
    <xf numFmtId="43" fontId="13" fillId="0" borderId="0" xfId="86" applyFont="1" applyFill="1" applyProtection="1"/>
    <xf numFmtId="173" fontId="13" fillId="0" borderId="0" xfId="0" applyNumberFormat="1" applyFont="1"/>
    <xf numFmtId="0" fontId="69" fillId="0" borderId="0" xfId="0" applyFont="1"/>
    <xf numFmtId="0" fontId="13" fillId="27" borderId="0" xfId="0" applyFont="1" applyFill="1"/>
    <xf numFmtId="0" fontId="10" fillId="0" borderId="23" xfId="0" applyFont="1" applyBorder="1"/>
    <xf numFmtId="0" fontId="10" fillId="0" borderId="17" xfId="0" applyFont="1" applyBorder="1"/>
    <xf numFmtId="0" fontId="13" fillId="0" borderId="17" xfId="0" applyFont="1" applyBorder="1"/>
    <xf numFmtId="173" fontId="10" fillId="0" borderId="24"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9" xfId="0" applyFont="1" applyBorder="1"/>
    <xf numFmtId="0" fontId="7" fillId="0" borderId="0" xfId="86" applyNumberFormat="1" applyFont="1" applyFill="1" applyBorder="1" applyAlignment="1" applyProtection="1">
      <alignment horizontal="left"/>
    </xf>
    <xf numFmtId="173" fontId="10" fillId="0" borderId="25" xfId="86" applyNumberFormat="1" applyFont="1" applyBorder="1" applyProtection="1"/>
    <xf numFmtId="0" fontId="10" fillId="0" borderId="0" xfId="0" applyFont="1"/>
    <xf numFmtId="173" fontId="10" fillId="0" borderId="21" xfId="86" applyNumberFormat="1" applyFont="1" applyBorder="1" applyProtection="1"/>
    <xf numFmtId="173" fontId="13" fillId="0" borderId="6" xfId="86" applyNumberFormat="1" applyFont="1" applyBorder="1" applyProtection="1"/>
    <xf numFmtId="173" fontId="13" fillId="0" borderId="22"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6" xfId="0" applyFont="1" applyBorder="1" applyAlignment="1">
      <alignment horizontal="center"/>
    </xf>
    <xf numFmtId="0" fontId="0" fillId="0" borderId="27" xfId="0" applyBorder="1"/>
    <xf numFmtId="0" fontId="0" fillId="0" borderId="28" xfId="0" applyBorder="1"/>
    <xf numFmtId="0" fontId="13" fillId="0" borderId="19" xfId="0" applyFont="1" applyBorder="1"/>
    <xf numFmtId="0" fontId="10" fillId="0" borderId="24" xfId="0" applyFont="1" applyBorder="1" applyAlignment="1">
      <alignment horizontal="center"/>
    </xf>
    <xf numFmtId="173" fontId="13" fillId="0" borderId="0" xfId="0" applyNumberFormat="1" applyFont="1" applyAlignment="1">
      <alignment horizontal="right"/>
    </xf>
    <xf numFmtId="10" fontId="13" fillId="0" borderId="20" xfId="0" applyNumberFormat="1" applyFont="1" applyBorder="1"/>
    <xf numFmtId="173" fontId="13" fillId="0" borderId="20" xfId="0" applyNumberFormat="1" applyFont="1" applyBorder="1" applyAlignment="1">
      <alignment horizontal="right"/>
    </xf>
    <xf numFmtId="0" fontId="13" fillId="0" borderId="21" xfId="0" applyFont="1" applyBorder="1"/>
    <xf numFmtId="0" fontId="13" fillId="0" borderId="6" xfId="0" applyFont="1" applyBorder="1" applyAlignment="1">
      <alignment horizontal="center"/>
    </xf>
    <xf numFmtId="0" fontId="0" fillId="0" borderId="6" xfId="0" applyBorder="1"/>
    <xf numFmtId="0" fontId="10" fillId="0" borderId="29"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9" xfId="86" applyNumberFormat="1" applyFont="1" applyBorder="1" applyAlignment="1" applyProtection="1">
      <alignment horizontal="center" wrapText="1"/>
    </xf>
    <xf numFmtId="173" fontId="10" fillId="0" borderId="24" xfId="86" applyNumberFormat="1" applyFont="1" applyBorder="1" applyAlignment="1" applyProtection="1">
      <alignment horizontal="center" wrapText="1"/>
    </xf>
    <xf numFmtId="0" fontId="10" fillId="0" borderId="30" xfId="0" applyFont="1" applyBorder="1" applyAlignment="1">
      <alignment horizontal="center" wrapText="1"/>
    </xf>
    <xf numFmtId="173" fontId="10" fillId="29" borderId="29" xfId="86" applyNumberFormat="1" applyFont="1" applyFill="1" applyBorder="1" applyAlignment="1" applyProtection="1">
      <alignment horizontal="center" wrapText="1"/>
    </xf>
    <xf numFmtId="0" fontId="10" fillId="0" borderId="31" xfId="0" applyFont="1" applyBorder="1" applyAlignment="1">
      <alignment horizontal="center"/>
    </xf>
    <xf numFmtId="0" fontId="10" fillId="0" borderId="6" xfId="0" applyFont="1" applyBorder="1" applyAlignment="1">
      <alignment horizontal="center"/>
    </xf>
    <xf numFmtId="173" fontId="10" fillId="0" borderId="31" xfId="86" applyNumberFormat="1" applyFont="1" applyBorder="1" applyAlignment="1" applyProtection="1">
      <alignment horizontal="center"/>
    </xf>
    <xf numFmtId="173" fontId="10" fillId="0" borderId="22" xfId="86" applyNumberFormat="1" applyFont="1" applyBorder="1" applyAlignment="1" applyProtection="1">
      <alignment horizontal="center"/>
    </xf>
    <xf numFmtId="0" fontId="10" fillId="0" borderId="30" xfId="0" applyFont="1" applyBorder="1" applyAlignment="1">
      <alignment horizontal="center"/>
    </xf>
    <xf numFmtId="173" fontId="10" fillId="29" borderId="31" xfId="86" applyNumberFormat="1" applyFont="1" applyFill="1" applyBorder="1" applyAlignment="1" applyProtection="1">
      <alignment horizontal="center"/>
    </xf>
    <xf numFmtId="0" fontId="13" fillId="0" borderId="30" xfId="0" applyFont="1" applyBorder="1" applyAlignment="1">
      <alignment horizontal="center"/>
    </xf>
    <xf numFmtId="173" fontId="13" fillId="0" borderId="30" xfId="0" applyNumberFormat="1" applyFont="1" applyBorder="1"/>
    <xf numFmtId="173" fontId="13" fillId="0" borderId="30" xfId="86" applyNumberFormat="1" applyFont="1" applyFill="1" applyBorder="1" applyProtection="1"/>
    <xf numFmtId="173" fontId="13" fillId="0" borderId="20" xfId="86" applyNumberFormat="1" applyFont="1" applyFill="1" applyBorder="1" applyProtection="1"/>
    <xf numFmtId="174" fontId="13" fillId="0" borderId="30" xfId="0" applyNumberFormat="1" applyFont="1" applyBorder="1"/>
    <xf numFmtId="174" fontId="13" fillId="29" borderId="29" xfId="0" applyNumberFormat="1" applyFont="1" applyFill="1" applyBorder="1"/>
    <xf numFmtId="173" fontId="13" fillId="0" borderId="30" xfId="86" applyNumberFormat="1" applyFont="1" applyBorder="1" applyProtection="1"/>
    <xf numFmtId="173" fontId="13" fillId="0" borderId="20" xfId="86" applyNumberFormat="1" applyFont="1" applyBorder="1" applyProtection="1"/>
    <xf numFmtId="174" fontId="13" fillId="29" borderId="30" xfId="0" applyNumberFormat="1" applyFont="1" applyFill="1" applyBorder="1"/>
    <xf numFmtId="174" fontId="13" fillId="29" borderId="30" xfId="0" applyNumberFormat="1" applyFont="1" applyFill="1" applyBorder="1" applyAlignment="1">
      <alignment wrapText="1"/>
    </xf>
    <xf numFmtId="0" fontId="13" fillId="0" borderId="31" xfId="0" applyFont="1" applyBorder="1" applyAlignment="1">
      <alignment horizontal="center"/>
    </xf>
    <xf numFmtId="173" fontId="13" fillId="0" borderId="6" xfId="0" applyNumberFormat="1" applyFont="1" applyBorder="1"/>
    <xf numFmtId="173" fontId="13" fillId="0" borderId="31" xfId="0" applyNumberFormat="1" applyFont="1" applyBorder="1"/>
    <xf numFmtId="173" fontId="13" fillId="0" borderId="31" xfId="86" applyNumberFormat="1" applyFont="1" applyBorder="1" applyProtection="1"/>
    <xf numFmtId="174" fontId="13" fillId="0" borderId="31" xfId="0" applyNumberFormat="1" applyFont="1" applyBorder="1"/>
    <xf numFmtId="174" fontId="13" fillId="29" borderId="31" xfId="0" applyNumberFormat="1" applyFont="1" applyFill="1" applyBorder="1"/>
    <xf numFmtId="174" fontId="13" fillId="0" borderId="0" xfId="0" applyNumberFormat="1" applyFont="1"/>
    <xf numFmtId="0" fontId="9" fillId="30" borderId="0" xfId="86" applyNumberFormat="1" applyFont="1" applyFill="1" applyAlignment="1" applyProtection="1">
      <protection locked="0"/>
    </xf>
    <xf numFmtId="0" fontId="20" fillId="30" borderId="0" xfId="86" applyNumberFormat="1" applyFont="1" applyFill="1" applyAlignment="1" applyProtection="1">
      <alignment horizontal="left"/>
      <protection locked="0"/>
    </xf>
    <xf numFmtId="0" fontId="154" fillId="30" borderId="22" xfId="0" applyFont="1" applyFill="1" applyBorder="1" applyAlignment="1" applyProtection="1">
      <alignment horizontal="right"/>
      <protection locked="0"/>
    </xf>
    <xf numFmtId="173" fontId="154" fillId="30" borderId="20" xfId="86" applyNumberFormat="1" applyFont="1" applyFill="1" applyBorder="1" applyAlignment="1" applyProtection="1">
      <alignment horizontal="right"/>
      <protection locked="0"/>
    </xf>
    <xf numFmtId="0" fontId="154" fillId="30" borderId="20" xfId="0" applyFont="1" applyFill="1" applyBorder="1" applyAlignment="1" applyProtection="1">
      <alignment horizontal="right"/>
      <protection locked="0"/>
    </xf>
    <xf numFmtId="173" fontId="9" fillId="0" borderId="20" xfId="0" applyNumberFormat="1" applyFont="1" applyBorder="1" applyAlignment="1">
      <alignment horizontal="right"/>
    </xf>
    <xf numFmtId="174" fontId="9" fillId="30" borderId="29" xfId="0" applyNumberFormat="1" applyFont="1" applyFill="1" applyBorder="1" applyProtection="1">
      <protection locked="0"/>
    </xf>
    <xf numFmtId="174" fontId="9" fillId="30" borderId="30" xfId="0" applyNumberFormat="1" applyFont="1" applyFill="1" applyBorder="1" applyProtection="1">
      <protection locked="0"/>
    </xf>
    <xf numFmtId="174" fontId="9" fillId="30" borderId="31" xfId="0" applyNumberFormat="1" applyFont="1" applyFill="1" applyBorder="1" applyProtection="1">
      <protection locked="0"/>
    </xf>
    <xf numFmtId="10" fontId="0" fillId="0" borderId="0" xfId="289" applyNumberFormat="1" applyFont="1" applyAlignment="1" applyProtection="1">
      <alignment horizontal="right"/>
    </xf>
    <xf numFmtId="172" fontId="13" fillId="0" borderId="23" xfId="277" applyFont="1" applyBorder="1" applyProtection="1"/>
    <xf numFmtId="172" fontId="13" fillId="0" borderId="17" xfId="277" applyFont="1" applyBorder="1" applyProtection="1"/>
    <xf numFmtId="3" fontId="13" fillId="0" borderId="24" xfId="277" applyNumberFormat="1" applyFont="1" applyBorder="1" applyProtection="1"/>
    <xf numFmtId="172" fontId="13" fillId="0" borderId="19" xfId="277" applyFont="1" applyBorder="1" applyProtection="1"/>
    <xf numFmtId="3" fontId="13" fillId="0" borderId="20" xfId="277" applyNumberFormat="1" applyFont="1" applyBorder="1" applyProtection="1"/>
    <xf numFmtId="0" fontId="13" fillId="0" borderId="0" xfId="277" quotePrefix="1" applyNumberFormat="1" applyFont="1" applyAlignment="1" applyProtection="1">
      <alignment horizontal="center"/>
    </xf>
    <xf numFmtId="0" fontId="13" fillId="0" borderId="20" xfId="0" applyFont="1" applyBorder="1"/>
    <xf numFmtId="10" fontId="33" fillId="0" borderId="0" xfId="0" applyNumberFormat="1" applyFont="1" applyAlignment="1">
      <alignment horizontal="center"/>
    </xf>
    <xf numFmtId="174" fontId="13" fillId="0" borderId="20" xfId="0" applyNumberFormat="1" applyFont="1" applyBorder="1"/>
    <xf numFmtId="174" fontId="13" fillId="0" borderId="22" xfId="0" applyNumberFormat="1" applyFont="1" applyBorder="1"/>
    <xf numFmtId="173" fontId="13" fillId="0" borderId="24" xfId="0" applyNumberFormat="1" applyFont="1" applyBorder="1"/>
    <xf numFmtId="166" fontId="13" fillId="0" borderId="21" xfId="277" applyNumberFormat="1" applyFont="1" applyBorder="1" applyAlignment="1" applyProtection="1">
      <alignment horizontal="center"/>
    </xf>
    <xf numFmtId="0" fontId="13" fillId="0" borderId="6" xfId="277" applyNumberFormat="1" applyFont="1" applyBorder="1" applyAlignment="1" applyProtection="1">
      <alignment horizontal="center"/>
    </xf>
    <xf numFmtId="173" fontId="13" fillId="0" borderId="6" xfId="277" quotePrefix="1" applyNumberFormat="1" applyFont="1" applyBorder="1" applyAlignment="1" applyProtection="1">
      <alignment horizontal="center"/>
    </xf>
    <xf numFmtId="41" fontId="13" fillId="0" borderId="11" xfId="277" applyNumberFormat="1" applyFont="1" applyBorder="1" applyProtection="1"/>
    <xf numFmtId="10" fontId="13" fillId="0" borderId="0" xfId="289" applyNumberFormat="1" applyFont="1" applyFill="1" applyBorder="1" applyAlignment="1" applyProtection="1"/>
    <xf numFmtId="173" fontId="13" fillId="0" borderId="0" xfId="86" applyNumberFormat="1" applyFont="1" applyFill="1" applyBorder="1" applyProtection="1"/>
    <xf numFmtId="182" fontId="13" fillId="0" borderId="0" xfId="86" applyNumberFormat="1" applyFont="1" applyProtection="1"/>
    <xf numFmtId="0" fontId="10" fillId="0" borderId="23" xfId="0" applyFont="1" applyBorder="1" applyAlignment="1">
      <alignment horizontal="center"/>
    </xf>
    <xf numFmtId="173" fontId="13" fillId="0" borderId="19" xfId="86" applyNumberFormat="1" applyFont="1" applyBorder="1" applyProtection="1"/>
    <xf numFmtId="173" fontId="10" fillId="0" borderId="0" xfId="86" applyNumberFormat="1" applyFont="1" applyBorder="1" applyProtection="1"/>
    <xf numFmtId="173" fontId="13" fillId="0" borderId="20" xfId="0" applyNumberFormat="1" applyFont="1" applyBorder="1"/>
    <xf numFmtId="173" fontId="10" fillId="0" borderId="11" xfId="86" applyNumberFormat="1" applyFont="1" applyBorder="1" applyProtection="1"/>
    <xf numFmtId="173" fontId="13" fillId="0" borderId="25" xfId="0" applyNumberFormat="1" applyFont="1" applyBorder="1"/>
    <xf numFmtId="173" fontId="10" fillId="0" borderId="6" xfId="86" applyNumberFormat="1" applyFont="1" applyFill="1" applyBorder="1" applyAlignment="1" applyProtection="1">
      <alignment horizontal="left"/>
    </xf>
    <xf numFmtId="173" fontId="10" fillId="0" borderId="22" xfId="86" applyNumberFormat="1" applyFont="1" applyFill="1" applyBorder="1" applyAlignment="1" applyProtection="1">
      <alignment horizontal="left"/>
    </xf>
    <xf numFmtId="173" fontId="13" fillId="0" borderId="29" xfId="0" applyNumberFormat="1" applyFont="1" applyBorder="1"/>
    <xf numFmtId="174" fontId="13" fillId="0" borderId="29" xfId="0" applyNumberFormat="1" applyFont="1" applyBorder="1"/>
    <xf numFmtId="0" fontId="91" fillId="0" borderId="0" xfId="270" applyFont="1"/>
    <xf numFmtId="173" fontId="9" fillId="30" borderId="0" xfId="86" applyNumberFormat="1" applyFont="1" applyFill="1" applyBorder="1" applyProtection="1">
      <protection locked="0"/>
    </xf>
    <xf numFmtId="10" fontId="9" fillId="30" borderId="0" xfId="289" applyNumberFormat="1" applyFont="1" applyFill="1" applyAlignment="1" applyProtection="1">
      <alignment horizontal="right" wrapText="1"/>
      <protection locked="0"/>
    </xf>
    <xf numFmtId="44" fontId="9" fillId="30" borderId="0" xfId="121" applyFont="1" applyFill="1" applyAlignment="1" applyProtection="1">
      <alignment horizontal="right" wrapText="1"/>
      <protection locked="0"/>
    </xf>
    <xf numFmtId="173" fontId="21" fillId="30" borderId="0" xfId="86" applyNumberFormat="1" applyFont="1" applyFill="1" applyProtection="1">
      <protection locked="0"/>
    </xf>
    <xf numFmtId="191" fontId="21" fillId="30" borderId="0" xfId="0" applyNumberFormat="1" applyFont="1" applyFill="1" applyProtection="1">
      <protection locked="0"/>
    </xf>
    <xf numFmtId="0" fontId="0" fillId="30" borderId="0" xfId="0" applyFill="1" applyAlignment="1" applyProtection="1">
      <alignment horizontal="center"/>
      <protection locked="0"/>
    </xf>
    <xf numFmtId="0" fontId="21" fillId="30" borderId="0" xfId="0" applyFont="1" applyFill="1" applyProtection="1">
      <protection locked="0"/>
    </xf>
    <xf numFmtId="10" fontId="78" fillId="0" borderId="35" xfId="289" applyNumberFormat="1" applyFont="1" applyFill="1" applyBorder="1" applyAlignment="1" applyProtection="1">
      <alignment horizontal="center"/>
    </xf>
    <xf numFmtId="0" fontId="13" fillId="0" borderId="0" xfId="284" applyFont="1"/>
    <xf numFmtId="0" fontId="10" fillId="0" borderId="0" xfId="284" applyFont="1" applyAlignment="1">
      <alignment horizontal="center" wrapText="1"/>
    </xf>
    <xf numFmtId="173" fontId="13" fillId="0" borderId="11" xfId="86" applyNumberFormat="1" applyFont="1" applyFill="1" applyBorder="1" applyAlignment="1" applyProtection="1"/>
    <xf numFmtId="173" fontId="13" fillId="0" borderId="0" xfId="86" applyNumberFormat="1" applyFont="1" applyFill="1" applyBorder="1" applyAlignment="1" applyProtection="1"/>
    <xf numFmtId="0" fontId="13" fillId="0" borderId="0" xfId="270" applyFont="1" applyAlignment="1">
      <alignment horizontal="left" vertical="top" wrapText="1"/>
    </xf>
    <xf numFmtId="0" fontId="111" fillId="0" borderId="0" xfId="284"/>
    <xf numFmtId="0" fontId="10" fillId="0" borderId="0" xfId="284" applyFont="1"/>
    <xf numFmtId="173" fontId="13" fillId="0" borderId="0" xfId="284" applyNumberFormat="1" applyFont="1"/>
    <xf numFmtId="0" fontId="13" fillId="0" borderId="0" xfId="284" applyFont="1" applyAlignment="1">
      <alignment vertical="top" wrapText="1"/>
    </xf>
    <xf numFmtId="10" fontId="13" fillId="0" borderId="0" xfId="284" applyNumberFormat="1" applyFont="1"/>
    <xf numFmtId="44" fontId="13" fillId="0" borderId="0" xfId="284" applyNumberFormat="1" applyFont="1"/>
    <xf numFmtId="0" fontId="115" fillId="0" borderId="0" xfId="284" applyFont="1"/>
    <xf numFmtId="173" fontId="13" fillId="0" borderId="11" xfId="284" applyNumberFormat="1" applyFont="1" applyBorder="1"/>
    <xf numFmtId="10" fontId="13" fillId="0" borderId="0" xfId="289" applyNumberFormat="1" applyFont="1" applyProtection="1"/>
    <xf numFmtId="10" fontId="13" fillId="0" borderId="0" xfId="289" applyNumberFormat="1" applyFont="1" applyFill="1" applyProtection="1"/>
    <xf numFmtId="10" fontId="13" fillId="32" borderId="0" xfId="289" applyNumberFormat="1" applyFont="1" applyFill="1" applyProtection="1"/>
    <xf numFmtId="10" fontId="13" fillId="0" borderId="11" xfId="289" applyNumberFormat="1" applyFont="1" applyBorder="1" applyProtection="1"/>
    <xf numFmtId="10" fontId="10" fillId="0" borderId="0" xfId="289" applyNumberFormat="1" applyFont="1" applyProtection="1"/>
    <xf numFmtId="173" fontId="13" fillId="0" borderId="11" xfId="86" applyNumberFormat="1" applyFont="1" applyFill="1" applyBorder="1" applyProtection="1"/>
    <xf numFmtId="0" fontId="116" fillId="0" borderId="0" xfId="284" applyFont="1"/>
    <xf numFmtId="0" fontId="95" fillId="0" borderId="0" xfId="284" applyFont="1"/>
    <xf numFmtId="43" fontId="13" fillId="0" borderId="0" xfId="284" applyNumberFormat="1" applyFont="1"/>
    <xf numFmtId="10" fontId="13" fillId="0" borderId="11" xfId="289" applyNumberFormat="1" applyFont="1" applyFill="1" applyBorder="1" applyProtection="1"/>
    <xf numFmtId="10" fontId="95" fillId="0" borderId="0" xfId="289" applyNumberFormat="1" applyFont="1" applyFill="1" applyProtection="1"/>
    <xf numFmtId="10" fontId="13" fillId="30" borderId="0" xfId="289" applyNumberFormat="1" applyFont="1" applyFill="1" applyAlignment="1" applyProtection="1">
      <alignment horizontal="right" wrapText="1"/>
      <protection locked="0"/>
    </xf>
    <xf numFmtId="164" fontId="9" fillId="30" borderId="0" xfId="289" applyNumberFormat="1" applyFont="1" applyFill="1" applyAlignment="1" applyProtection="1">
      <alignment horizontal="right" wrapText="1"/>
      <protection locked="0"/>
    </xf>
    <xf numFmtId="44" fontId="13" fillId="30" borderId="0" xfId="121" applyFont="1" applyFill="1" applyAlignment="1" applyProtection="1">
      <alignment horizontal="right" wrapText="1"/>
      <protection locked="0"/>
    </xf>
    <xf numFmtId="173" fontId="13" fillId="30" borderId="0" xfId="86" applyNumberFormat="1" applyFont="1" applyFill="1" applyProtection="1">
      <protection locked="0"/>
    </xf>
    <xf numFmtId="170" fontId="123" fillId="30" borderId="31" xfId="0" applyNumberFormat="1" applyFont="1" applyFill="1" applyBorder="1" applyAlignment="1" applyProtection="1">
      <alignment horizontal="center"/>
      <protection locked="0"/>
    </xf>
    <xf numFmtId="0" fontId="123" fillId="0" borderId="0" xfId="0" applyFont="1" applyAlignment="1">
      <alignment horizontal="left"/>
    </xf>
    <xf numFmtId="0" fontId="123" fillId="0" borderId="0" xfId="0" applyFont="1"/>
    <xf numFmtId="0" fontId="123" fillId="0" borderId="29" xfId="0" applyFont="1" applyBorder="1" applyAlignment="1">
      <alignment horizontal="center" wrapText="1"/>
    </xf>
    <xf numFmtId="0" fontId="123" fillId="0" borderId="30" xfId="0" applyFont="1" applyBorder="1" applyAlignment="1">
      <alignment horizontal="center" wrapText="1"/>
    </xf>
    <xf numFmtId="0" fontId="123" fillId="0" borderId="30" xfId="0" applyFont="1" applyBorder="1"/>
    <xf numFmtId="170" fontId="124" fillId="0" borderId="0" xfId="0" applyNumberFormat="1" applyFont="1" applyAlignment="1">
      <alignment horizontal="right"/>
    </xf>
    <xf numFmtId="170" fontId="123" fillId="0" borderId="0" xfId="0" applyNumberFormat="1" applyFont="1" applyAlignment="1">
      <alignment horizontal="center"/>
    </xf>
    <xf numFmtId="170" fontId="123" fillId="0" borderId="0" xfId="0" applyNumberFormat="1" applyFont="1"/>
    <xf numFmtId="170" fontId="124" fillId="0" borderId="0" xfId="0" applyNumberFormat="1" applyFont="1" applyAlignment="1">
      <alignment horizontal="center"/>
    </xf>
    <xf numFmtId="170" fontId="6" fillId="0" borderId="0" xfId="0" applyNumberFormat="1" applyFont="1"/>
    <xf numFmtId="5" fontId="123" fillId="0" borderId="31"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6"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290"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88" applyNumberFormat="1" applyFont="1" applyFill="1" applyProtection="1"/>
    <xf numFmtId="176" fontId="123" fillId="0" borderId="0" xfId="0" applyNumberFormat="1" applyFont="1"/>
    <xf numFmtId="173" fontId="123" fillId="0" borderId="11" xfId="88" applyNumberFormat="1" applyFont="1" applyFill="1" applyBorder="1" applyProtection="1"/>
    <xf numFmtId="173" fontId="124" fillId="0" borderId="0" xfId="88" applyNumberFormat="1" applyFont="1" applyFill="1" applyProtection="1"/>
    <xf numFmtId="173" fontId="124" fillId="0" borderId="0" xfId="88" applyNumberFormat="1" applyFont="1" applyFill="1" applyAlignment="1" applyProtection="1">
      <alignment horizontal="center"/>
    </xf>
    <xf numFmtId="0" fontId="125" fillId="0" borderId="0" xfId="0" applyFont="1"/>
    <xf numFmtId="173" fontId="124" fillId="0" borderId="0" xfId="0" applyNumberFormat="1" applyFont="1"/>
    <xf numFmtId="194" fontId="6" fillId="0" borderId="0" xfId="0" applyNumberFormat="1" applyFont="1"/>
    <xf numFmtId="173" fontId="6" fillId="0" borderId="0" xfId="88" applyNumberFormat="1" applyFont="1" applyFill="1" applyProtection="1"/>
    <xf numFmtId="173" fontId="6" fillId="0" borderId="0" xfId="122" applyNumberFormat="1" applyFont="1" applyFill="1" applyProtection="1"/>
    <xf numFmtId="176" fontId="123" fillId="30" borderId="0" xfId="290" applyNumberFormat="1" applyFont="1" applyFill="1" applyProtection="1">
      <protection locked="0"/>
    </xf>
    <xf numFmtId="173" fontId="3" fillId="30" borderId="6" xfId="277" applyNumberFormat="1" applyFont="1" applyFill="1" applyBorder="1" applyAlignment="1" applyProtection="1">
      <alignment horizontal="center"/>
      <protection locked="0"/>
    </xf>
    <xf numFmtId="174" fontId="154" fillId="30" borderId="0" xfId="0" applyNumberFormat="1" applyFont="1" applyFill="1" applyProtection="1">
      <protection locked="0"/>
    </xf>
    <xf numFmtId="174" fontId="13" fillId="30" borderId="6" xfId="0" applyNumberFormat="1" applyFont="1" applyFill="1" applyBorder="1" applyProtection="1">
      <protection locked="0"/>
    </xf>
    <xf numFmtId="41" fontId="13" fillId="32" borderId="0" xfId="277" applyNumberFormat="1" applyFont="1" applyFill="1" applyProtection="1"/>
    <xf numFmtId="41" fontId="13" fillId="32" borderId="0" xfId="277" applyNumberFormat="1" applyFont="1" applyFill="1" applyAlignment="1" applyProtection="1">
      <alignment horizontal="center"/>
    </xf>
    <xf numFmtId="41" fontId="13" fillId="32" borderId="0" xfId="0" applyNumberFormat="1" applyFont="1" applyFill="1"/>
    <xf numFmtId="173" fontId="13" fillId="32" borderId="0" xfId="86" applyNumberFormat="1" applyFont="1" applyFill="1" applyProtection="1"/>
    <xf numFmtId="10" fontId="13" fillId="32" borderId="0" xfId="0" applyNumberFormat="1" applyFont="1" applyFill="1"/>
    <xf numFmtId="10" fontId="14" fillId="32" borderId="0" xfId="0" applyNumberFormat="1" applyFont="1" applyFill="1"/>
    <xf numFmtId="3" fontId="6" fillId="30" borderId="0" xfId="0" applyNumberFormat="1" applyFont="1" applyFill="1" applyAlignment="1" applyProtection="1">
      <alignment horizontal="center"/>
      <protection locked="0"/>
    </xf>
    <xf numFmtId="0" fontId="16" fillId="30" borderId="0" xfId="270" applyFont="1" applyFill="1" applyAlignment="1" applyProtection="1">
      <alignment horizontal="left"/>
      <protection locked="0"/>
    </xf>
    <xf numFmtId="0" fontId="16" fillId="30" borderId="0" xfId="270" applyFont="1" applyFill="1" applyProtection="1">
      <protection locked="0"/>
    </xf>
    <xf numFmtId="0" fontId="11" fillId="30" borderId="0" xfId="270" applyFont="1" applyFill="1" applyAlignment="1" applyProtection="1">
      <alignment horizontal="center"/>
      <protection locked="0"/>
    </xf>
    <xf numFmtId="3" fontId="64" fillId="30" borderId="0" xfId="0" applyNumberFormat="1" applyFont="1" applyFill="1" applyProtection="1">
      <protection locked="0"/>
    </xf>
    <xf numFmtId="3" fontId="64" fillId="30" borderId="0" xfId="0" quotePrefix="1" applyNumberFormat="1" applyFont="1" applyFill="1" applyProtection="1">
      <protection locked="0"/>
    </xf>
    <xf numFmtId="3" fontId="126" fillId="30" borderId="0" xfId="0" applyNumberFormat="1" applyFont="1" applyFill="1" applyProtection="1">
      <protection locked="0"/>
    </xf>
    <xf numFmtId="41" fontId="126" fillId="30" borderId="0" xfId="270" applyNumberFormat="1" applyFont="1" applyFill="1" applyProtection="1">
      <protection locked="0"/>
    </xf>
    <xf numFmtId="0" fontId="64" fillId="0" borderId="0" xfId="270" applyFont="1" applyAlignment="1">
      <alignment horizontal="center"/>
    </xf>
    <xf numFmtId="0" fontId="64" fillId="0" borderId="0" xfId="270" applyFont="1"/>
    <xf numFmtId="41" fontId="64" fillId="0" borderId="0" xfId="270" applyNumberFormat="1" applyFont="1"/>
    <xf numFmtId="41" fontId="126" fillId="30" borderId="11" xfId="270" applyNumberFormat="1" applyFont="1" applyFill="1" applyBorder="1" applyProtection="1">
      <protection locked="0"/>
    </xf>
    <xf numFmtId="0" fontId="64" fillId="0" borderId="0" xfId="0" applyFont="1"/>
    <xf numFmtId="173" fontId="64" fillId="0" borderId="0" xfId="86" applyNumberFormat="1" applyFont="1" applyFill="1"/>
    <xf numFmtId="173" fontId="127" fillId="0" borderId="0" xfId="86" applyNumberFormat="1" applyFont="1" applyFill="1"/>
    <xf numFmtId="38" fontId="64" fillId="0" borderId="0" xfId="0" applyNumberFormat="1" applyFont="1"/>
    <xf numFmtId="0" fontId="64" fillId="0" borderId="0" xfId="220" applyFont="1" applyAlignment="1">
      <alignment horizontal="center"/>
    </xf>
    <xf numFmtId="0" fontId="64" fillId="0" borderId="0" xfId="220" applyFont="1"/>
    <xf numFmtId="0" fontId="64" fillId="0" borderId="0" xfId="270" applyFont="1" applyAlignment="1">
      <alignment horizontal="left"/>
    </xf>
    <xf numFmtId="3" fontId="64" fillId="0" borderId="0" xfId="220" applyNumberFormat="1" applyFont="1"/>
    <xf numFmtId="38" fontId="64" fillId="0" borderId="0" xfId="0" applyNumberFormat="1" applyFont="1" applyAlignment="1">
      <alignment horizontal="center"/>
    </xf>
    <xf numFmtId="0" fontId="128" fillId="0" borderId="0" xfId="270" applyFont="1" applyAlignment="1">
      <alignment horizontal="center"/>
    </xf>
    <xf numFmtId="0" fontId="41" fillId="0" borderId="0" xfId="270" applyFont="1" applyAlignment="1">
      <alignment horizontal="center"/>
    </xf>
    <xf numFmtId="9" fontId="41" fillId="0" borderId="0" xfId="270" applyNumberFormat="1" applyFont="1" applyAlignment="1">
      <alignment horizontal="center"/>
    </xf>
    <xf numFmtId="0" fontId="41" fillId="0" borderId="0" xfId="270" applyFont="1"/>
    <xf numFmtId="0" fontId="41" fillId="0" borderId="0" xfId="270" applyFont="1" applyAlignment="1">
      <alignment horizontal="center" wrapText="1"/>
    </xf>
    <xf numFmtId="0" fontId="128" fillId="0" borderId="0" xfId="270" applyFont="1" applyAlignment="1">
      <alignment horizontal="right"/>
    </xf>
    <xf numFmtId="0" fontId="64" fillId="0" borderId="0" xfId="0" applyFont="1" applyAlignment="1">
      <alignment horizontal="center" wrapText="1"/>
    </xf>
    <xf numFmtId="0" fontId="41" fillId="0" borderId="11" xfId="270" applyFont="1" applyBorder="1" applyAlignment="1">
      <alignment horizontal="center"/>
    </xf>
    <xf numFmtId="173" fontId="155" fillId="30" borderId="0" xfId="86" applyNumberFormat="1" applyFont="1" applyFill="1"/>
    <xf numFmtId="173" fontId="13" fillId="0" borderId="30" xfId="98" applyNumberFormat="1" applyFont="1" applyFill="1" applyBorder="1" applyProtection="1"/>
    <xf numFmtId="173" fontId="13" fillId="0" borderId="20" xfId="98" applyNumberFormat="1" applyFont="1" applyFill="1" applyBorder="1" applyProtection="1"/>
    <xf numFmtId="0" fontId="13" fillId="0" borderId="0" xfId="0" applyFont="1" applyAlignment="1">
      <alignment vertical="top" wrapText="1"/>
    </xf>
    <xf numFmtId="0" fontId="10" fillId="0" borderId="0" xfId="283" applyFont="1" applyAlignment="1">
      <alignment horizontal="center"/>
    </xf>
    <xf numFmtId="43" fontId="13" fillId="0" borderId="0" xfId="119" applyFont="1" applyFill="1" applyProtection="1"/>
    <xf numFmtId="173" fontId="9" fillId="30" borderId="0" xfId="119" applyNumberFormat="1" applyFont="1" applyFill="1" applyProtection="1">
      <protection locked="0"/>
    </xf>
    <xf numFmtId="173" fontId="13" fillId="0" borderId="0" xfId="283" applyNumberFormat="1" applyFont="1"/>
    <xf numFmtId="0" fontId="131" fillId="0" borderId="0" xfId="0" applyFont="1" applyAlignment="1">
      <alignment vertical="center"/>
    </xf>
    <xf numFmtId="0" fontId="72" fillId="0" borderId="11" xfId="278" applyFont="1" applyBorder="1" applyAlignment="1">
      <alignment horizontal="center"/>
    </xf>
    <xf numFmtId="173" fontId="79" fillId="30" borderId="11" xfId="278" applyNumberFormat="1" applyFont="1" applyFill="1" applyBorder="1" applyProtection="1">
      <protection locked="0"/>
    </xf>
    <xf numFmtId="173" fontId="79" fillId="0" borderId="11" xfId="278" applyNumberFormat="1" applyFont="1" applyBorder="1"/>
    <xf numFmtId="0" fontId="72" fillId="0" borderId="11" xfId="278" applyFont="1" applyBorder="1"/>
    <xf numFmtId="0" fontId="13" fillId="0" borderId="11" xfId="278" applyFont="1" applyBorder="1"/>
    <xf numFmtId="0" fontId="19" fillId="0" borderId="11" xfId="278" applyFont="1" applyBorder="1"/>
    <xf numFmtId="173" fontId="90" fillId="0" borderId="11" xfId="278" applyNumberFormat="1" applyFont="1" applyBorder="1"/>
    <xf numFmtId="173" fontId="72" fillId="0" borderId="0" xfId="278" applyNumberFormat="1" applyFont="1" applyProtection="1">
      <protection locked="0"/>
    </xf>
    <xf numFmtId="9" fontId="79" fillId="30" borderId="0" xfId="289" applyFont="1" applyFill="1" applyBorder="1" applyProtection="1">
      <protection locked="0"/>
    </xf>
    <xf numFmtId="173" fontId="79" fillId="30" borderId="0" xfId="278" applyNumberFormat="1" applyFont="1" applyFill="1" applyAlignment="1" applyProtection="1">
      <alignment horizontal="center"/>
      <protection locked="0"/>
    </xf>
    <xf numFmtId="0" fontId="13" fillId="0" borderId="0" xfId="174"/>
    <xf numFmtId="0" fontId="13" fillId="0" borderId="0" xfId="174" applyAlignment="1">
      <alignment horizontal="center"/>
    </xf>
    <xf numFmtId="41" fontId="9" fillId="30" borderId="0" xfId="271" applyNumberFormat="1" applyFont="1" applyFill="1" applyProtection="1">
      <protection locked="0"/>
    </xf>
    <xf numFmtId="0" fontId="10" fillId="0" borderId="0" xfId="174" applyFont="1" applyAlignment="1">
      <alignment horizontal="left"/>
    </xf>
    <xf numFmtId="3" fontId="13" fillId="0" borderId="0" xfId="174" applyNumberFormat="1"/>
    <xf numFmtId="0" fontId="14" fillId="0" borderId="0" xfId="174" applyFont="1" applyAlignment="1">
      <alignment horizontal="center"/>
    </xf>
    <xf numFmtId="3" fontId="13" fillId="0" borderId="0" xfId="174" applyNumberFormat="1" applyAlignment="1">
      <alignment horizontal="centerContinuous"/>
    </xf>
    <xf numFmtId="3" fontId="14" fillId="0" borderId="0" xfId="174" applyNumberFormat="1" applyFont="1" applyAlignment="1">
      <alignment horizontal="centerContinuous"/>
    </xf>
    <xf numFmtId="3" fontId="13" fillId="0" borderId="36" xfId="174" applyNumberFormat="1" applyBorder="1"/>
    <xf numFmtId="3" fontId="13" fillId="0" borderId="0" xfId="174" applyNumberFormat="1" applyAlignment="1">
      <alignment horizontal="left"/>
    </xf>
    <xf numFmtId="37" fontId="13" fillId="0" borderId="0" xfId="174" applyNumberFormat="1"/>
    <xf numFmtId="37" fontId="13" fillId="0" borderId="0" xfId="174" applyNumberFormat="1" applyAlignment="1">
      <alignment horizontal="center"/>
    </xf>
    <xf numFmtId="37" fontId="13" fillId="0" borderId="36" xfId="174" applyNumberFormat="1" applyBorder="1"/>
    <xf numFmtId="37" fontId="13" fillId="0" borderId="37" xfId="174" applyNumberFormat="1" applyBorder="1"/>
    <xf numFmtId="37" fontId="13" fillId="33" borderId="0" xfId="174" applyNumberFormat="1" applyFill="1"/>
    <xf numFmtId="37" fontId="13" fillId="0" borderId="38" xfId="174" applyNumberFormat="1" applyBorder="1"/>
    <xf numFmtId="3" fontId="13" fillId="0" borderId="0" xfId="174" applyNumberFormat="1" applyAlignment="1" applyProtection="1">
      <alignment horizontal="center"/>
      <protection locked="0"/>
    </xf>
    <xf numFmtId="3" fontId="13" fillId="0" borderId="0" xfId="174" applyNumberFormat="1" applyAlignment="1">
      <alignment horizontal="center"/>
    </xf>
    <xf numFmtId="3" fontId="13" fillId="0" borderId="0" xfId="174" applyNumberFormat="1" applyProtection="1">
      <protection locked="0"/>
    </xf>
    <xf numFmtId="0" fontId="13" fillId="0" borderId="0" xfId="174" applyAlignment="1">
      <alignment horizontal="left"/>
    </xf>
    <xf numFmtId="37" fontId="13" fillId="0" borderId="14" xfId="174" applyNumberFormat="1" applyBorder="1"/>
    <xf numFmtId="37" fontId="156" fillId="0" borderId="37" xfId="174" applyNumberFormat="1" applyFont="1" applyBorder="1"/>
    <xf numFmtId="37" fontId="156" fillId="0" borderId="0" xfId="174" applyNumberFormat="1" applyFont="1"/>
    <xf numFmtId="4" fontId="13" fillId="0" borderId="0" xfId="174" applyNumberFormat="1" applyAlignment="1">
      <alignment horizontal="center"/>
    </xf>
    <xf numFmtId="195" fontId="9" fillId="30" borderId="0" xfId="271" applyNumberFormat="1" applyFont="1" applyFill="1" applyProtection="1">
      <protection locked="0"/>
    </xf>
    <xf numFmtId="0" fontId="153" fillId="0" borderId="0" xfId="174" applyFont="1" applyAlignment="1">
      <alignment horizontal="left"/>
    </xf>
    <xf numFmtId="3" fontId="13" fillId="34" borderId="0" xfId="174" applyNumberFormat="1" applyFill="1"/>
    <xf numFmtId="0" fontId="13" fillId="34" borderId="0" xfId="174" applyFill="1"/>
    <xf numFmtId="3" fontId="13" fillId="34" borderId="0" xfId="174" applyNumberFormat="1" applyFill="1" applyAlignment="1" applyProtection="1">
      <alignment horizontal="center"/>
      <protection locked="0"/>
    </xf>
    <xf numFmtId="0" fontId="13" fillId="34" borderId="0" xfId="174" applyFill="1" applyAlignment="1">
      <alignment horizontal="center"/>
    </xf>
    <xf numFmtId="0" fontId="14" fillId="34" borderId="0" xfId="174" applyFont="1" applyFill="1" applyAlignment="1">
      <alignment horizontal="center"/>
    </xf>
    <xf numFmtId="41" fontId="9" fillId="30" borderId="0" xfId="272" applyNumberFormat="1" applyFont="1" applyFill="1"/>
    <xf numFmtId="3" fontId="10" fillId="0" borderId="0" xfId="174" applyNumberFormat="1" applyFont="1" applyAlignment="1">
      <alignment horizontal="left"/>
    </xf>
    <xf numFmtId="195" fontId="9" fillId="30" borderId="0" xfId="272" applyNumberFormat="1" applyFont="1" applyFill="1" applyProtection="1">
      <protection locked="0"/>
    </xf>
    <xf numFmtId="0" fontId="19" fillId="0" borderId="11" xfId="278" applyFont="1" applyBorder="1" applyAlignment="1">
      <alignment horizontal="center"/>
    </xf>
    <xf numFmtId="173" fontId="72" fillId="0" borderId="11" xfId="278" applyNumberFormat="1" applyFont="1" applyBorder="1"/>
    <xf numFmtId="0" fontId="13" fillId="0" borderId="0" xfId="0" applyFont="1" applyAlignment="1">
      <alignment horizontal="right"/>
    </xf>
    <xf numFmtId="0" fontId="10" fillId="0" borderId="0" xfId="281" applyFont="1" applyAlignment="1">
      <alignment horizontal="centerContinuous"/>
    </xf>
    <xf numFmtId="0" fontId="13" fillId="0" borderId="0" xfId="281" applyAlignment="1">
      <alignment horizontal="left"/>
    </xf>
    <xf numFmtId="0" fontId="10" fillId="0" borderId="0" xfId="281" applyFont="1" applyAlignment="1">
      <alignment horizontal="center"/>
    </xf>
    <xf numFmtId="0" fontId="10" fillId="0" borderId="0" xfId="281" applyFont="1" applyAlignment="1">
      <alignment wrapText="1"/>
    </xf>
    <xf numFmtId="0" fontId="13" fillId="0" borderId="39" xfId="0" applyFont="1" applyBorder="1" applyAlignment="1">
      <alignment horizontal="center" wrapText="1"/>
    </xf>
    <xf numFmtId="0" fontId="10" fillId="0" borderId="32" xfId="281" applyFont="1" applyBorder="1" applyAlignment="1">
      <alignment horizontal="center" wrapText="1"/>
    </xf>
    <xf numFmtId="0" fontId="10" fillId="0" borderId="0" xfId="281" applyFont="1" applyAlignment="1">
      <alignment horizontal="center" wrapText="1"/>
    </xf>
    <xf numFmtId="0" fontId="13" fillId="0" borderId="33" xfId="0" applyFont="1" applyBorder="1" applyAlignment="1">
      <alignment horizontal="center"/>
    </xf>
    <xf numFmtId="0" fontId="10" fillId="0" borderId="34" xfId="281" applyFont="1" applyBorder="1" applyAlignment="1">
      <alignment horizontal="center"/>
    </xf>
    <xf numFmtId="0" fontId="133" fillId="0" borderId="0" xfId="0" applyFont="1"/>
    <xf numFmtId="3" fontId="25" fillId="0" borderId="11" xfId="220" applyNumberFormat="1" applyFont="1" applyBorder="1" applyAlignment="1">
      <alignment horizontal="center" wrapText="1"/>
    </xf>
    <xf numFmtId="0" fontId="13" fillId="0" borderId="34" xfId="281" quotePrefix="1" applyBorder="1" applyAlignment="1">
      <alignment horizontal="left"/>
    </xf>
    <xf numFmtId="173" fontId="9" fillId="26" borderId="0" xfId="112" applyNumberFormat="1" applyFont="1" applyFill="1" applyAlignment="1" applyProtection="1">
      <protection locked="0"/>
    </xf>
    <xf numFmtId="0" fontId="13" fillId="0" borderId="34" xfId="281" applyBorder="1"/>
    <xf numFmtId="0" fontId="13" fillId="0" borderId="40" xfId="0" applyFont="1" applyBorder="1" applyAlignment="1">
      <alignment horizontal="center"/>
    </xf>
    <xf numFmtId="0" fontId="13" fillId="0" borderId="35" xfId="281" applyBorder="1"/>
    <xf numFmtId="0" fontId="13" fillId="0" borderId="35" xfId="281" applyBorder="1" applyAlignment="1">
      <alignment horizontal="right"/>
    </xf>
    <xf numFmtId="173" fontId="13" fillId="0" borderId="14" xfId="88" applyNumberFormat="1" applyFont="1" applyBorder="1"/>
    <xf numFmtId="0" fontId="13" fillId="0" borderId="0" xfId="281"/>
    <xf numFmtId="37" fontId="13" fillId="0" borderId="0" xfId="281" applyNumberFormat="1"/>
    <xf numFmtId="172" fontId="13" fillId="0" borderId="0" xfId="274" applyFont="1"/>
    <xf numFmtId="0" fontId="13" fillId="0" borderId="16" xfId="0" applyFont="1" applyBorder="1" applyAlignment="1">
      <alignment horizontal="center"/>
    </xf>
    <xf numFmtId="0" fontId="13" fillId="0" borderId="42" xfId="281" applyBorder="1" applyAlignment="1">
      <alignment horizontal="right"/>
    </xf>
    <xf numFmtId="0" fontId="13" fillId="0" borderId="39" xfId="0" applyFont="1" applyBorder="1" applyAlignment="1">
      <alignment horizontal="center"/>
    </xf>
    <xf numFmtId="0" fontId="10" fillId="0" borderId="2" xfId="281" applyFont="1" applyBorder="1" applyAlignment="1">
      <alignment horizontal="centerContinuous" wrapText="1"/>
    </xf>
    <xf numFmtId="0" fontId="13" fillId="0" borderId="39" xfId="0" applyFont="1" applyBorder="1"/>
    <xf numFmtId="0" fontId="13" fillId="0" borderId="2" xfId="0" applyFont="1" applyBorder="1"/>
    <xf numFmtId="0" fontId="13" fillId="0" borderId="33" xfId="0" applyFont="1" applyBorder="1" applyAlignment="1">
      <alignment horizontal="center" wrapText="1"/>
    </xf>
    <xf numFmtId="0" fontId="10" fillId="0" borderId="33" xfId="281" applyFont="1" applyBorder="1" applyAlignment="1">
      <alignment horizontal="center" wrapText="1"/>
    </xf>
    <xf numFmtId="0" fontId="10" fillId="0" borderId="33" xfId="281" applyFont="1" applyBorder="1" applyAlignment="1">
      <alignment horizontal="center"/>
    </xf>
    <xf numFmtId="3" fontId="13" fillId="0" borderId="40" xfId="220" applyNumberFormat="1" applyBorder="1" applyAlignment="1">
      <alignment horizontal="center" wrapText="1"/>
    </xf>
    <xf numFmtId="3" fontId="13" fillId="0" borderId="11" xfId="220" applyNumberFormat="1" applyBorder="1" applyAlignment="1">
      <alignment horizontal="center" wrapText="1"/>
    </xf>
    <xf numFmtId="0" fontId="13" fillId="0" borderId="0" xfId="281" quotePrefix="1" applyAlignment="1">
      <alignment horizontal="left"/>
    </xf>
    <xf numFmtId="173" fontId="9" fillId="26" borderId="33" xfId="112" applyNumberFormat="1" applyFont="1" applyFill="1" applyBorder="1" applyAlignment="1" applyProtection="1">
      <protection locked="0"/>
    </xf>
    <xf numFmtId="0" fontId="13" fillId="0" borderId="11" xfId="281" applyBorder="1"/>
    <xf numFmtId="173" fontId="9" fillId="26" borderId="40" xfId="112" applyNumberFormat="1" applyFont="1" applyFill="1" applyBorder="1" applyAlignment="1" applyProtection="1">
      <protection locked="0"/>
    </xf>
    <xf numFmtId="0" fontId="13" fillId="0" borderId="14" xfId="0" applyFont="1" applyBorder="1" applyAlignment="1">
      <alignment horizontal="center"/>
    </xf>
    <xf numFmtId="173" fontId="13" fillId="0" borderId="43" xfId="88" applyNumberFormat="1" applyFont="1" applyBorder="1"/>
    <xf numFmtId="0" fontId="133" fillId="0" borderId="0" xfId="0" applyFont="1" applyAlignment="1">
      <alignment horizontal="center"/>
    </xf>
    <xf numFmtId="0" fontId="18" fillId="0" borderId="0" xfId="220" applyFont="1" applyAlignment="1">
      <alignment horizontal="left" vertical="center"/>
    </xf>
    <xf numFmtId="0" fontId="18" fillId="0" borderId="0" xfId="220" applyFont="1" applyAlignment="1">
      <alignment horizontal="center" vertical="center"/>
    </xf>
    <xf numFmtId="0" fontId="18" fillId="0" borderId="0" xfId="270" applyFont="1" applyAlignment="1">
      <alignment horizontal="center" vertical="center" wrapText="1"/>
    </xf>
    <xf numFmtId="0" fontId="18" fillId="0" borderId="0" xfId="220" quotePrefix="1" applyFont="1" applyAlignment="1">
      <alignment horizontal="center" vertical="center" wrapText="1"/>
    </xf>
    <xf numFmtId="0" fontId="18" fillId="0" borderId="0" xfId="220" applyFont="1" applyAlignment="1">
      <alignment horizontal="left"/>
    </xf>
    <xf numFmtId="173" fontId="0" fillId="0" borderId="0" xfId="112" applyNumberFormat="1" applyFont="1" applyFill="1"/>
    <xf numFmtId="3" fontId="13" fillId="0" borderId="0" xfId="220" applyNumberFormat="1" applyAlignment="1">
      <alignment horizontal="right"/>
    </xf>
    <xf numFmtId="3" fontId="13" fillId="32" borderId="0" xfId="220" applyNumberFormat="1" applyFill="1"/>
    <xf numFmtId="0" fontId="13" fillId="30" borderId="0" xfId="220" applyFill="1" applyProtection="1">
      <protection locked="0"/>
    </xf>
    <xf numFmtId="173" fontId="9" fillId="30" borderId="11" xfId="89" applyNumberFormat="1" applyFont="1" applyFill="1" applyBorder="1" applyAlignment="1" applyProtection="1">
      <alignment horizontal="right"/>
      <protection locked="0"/>
    </xf>
    <xf numFmtId="173" fontId="0" fillId="0" borderId="11" xfId="112" applyNumberFormat="1" applyFont="1" applyFill="1" applyBorder="1"/>
    <xf numFmtId="173" fontId="13" fillId="0" borderId="0" xfId="220" applyNumberFormat="1"/>
    <xf numFmtId="0" fontId="82" fillId="0" borderId="0" xfId="220" applyFont="1" applyAlignment="1">
      <alignment horizontal="center"/>
    </xf>
    <xf numFmtId="173" fontId="9" fillId="30" borderId="0" xfId="89" applyNumberFormat="1" applyFont="1" applyFill="1" applyBorder="1" applyAlignment="1" applyProtection="1">
      <alignment horizontal="left"/>
      <protection locked="0"/>
    </xf>
    <xf numFmtId="0" fontId="9" fillId="30" borderId="0" xfId="89" applyNumberFormat="1" applyFont="1" applyFill="1" applyBorder="1" applyAlignment="1" applyProtection="1">
      <alignment horizontal="center"/>
      <protection locked="0"/>
    </xf>
    <xf numFmtId="173" fontId="64" fillId="0" borderId="0" xfId="112" applyNumberFormat="1" applyFont="1" applyFill="1" applyAlignment="1" applyProtection="1">
      <alignment horizontal="left"/>
      <protection locked="0"/>
    </xf>
    <xf numFmtId="173" fontId="64" fillId="0" borderId="11" xfId="112" applyNumberFormat="1" applyFont="1" applyFill="1" applyBorder="1" applyAlignment="1" applyProtection="1">
      <alignment horizontal="left"/>
      <protection locked="0"/>
    </xf>
    <xf numFmtId="0" fontId="16" fillId="0" borderId="0" xfId="174" applyFont="1"/>
    <xf numFmtId="0" fontId="16" fillId="0" borderId="0" xfId="174" applyFont="1" applyAlignment="1">
      <alignment horizontal="center"/>
    </xf>
    <xf numFmtId="0" fontId="16" fillId="0" borderId="0" xfId="174" applyFont="1" applyAlignment="1">
      <alignment horizontal="right"/>
    </xf>
    <xf numFmtId="0" fontId="92" fillId="0" borderId="0" xfId="281" applyFont="1" applyAlignment="1">
      <alignment horizontal="centerContinuous"/>
    </xf>
    <xf numFmtId="0" fontId="16" fillId="0" borderId="0" xfId="281" applyFont="1" applyAlignment="1">
      <alignment horizontal="left"/>
    </xf>
    <xf numFmtId="0" fontId="92" fillId="0" borderId="0" xfId="281" applyFont="1" applyAlignment="1">
      <alignment horizontal="center"/>
    </xf>
    <xf numFmtId="0" fontId="13" fillId="0" borderId="39" xfId="174" applyBorder="1" applyAlignment="1">
      <alignment horizontal="center" wrapText="1"/>
    </xf>
    <xf numFmtId="0" fontId="10" fillId="0" borderId="44" xfId="281" applyFont="1" applyBorder="1" applyAlignment="1">
      <alignment horizontal="center" wrapText="1"/>
    </xf>
    <xf numFmtId="0" fontId="16" fillId="0" borderId="0" xfId="174" applyFont="1" applyAlignment="1">
      <alignment wrapText="1"/>
    </xf>
    <xf numFmtId="0" fontId="13" fillId="0" borderId="33" xfId="174" applyBorder="1" applyAlignment="1">
      <alignment horizontal="center"/>
    </xf>
    <xf numFmtId="0" fontId="10" fillId="0" borderId="10" xfId="281" applyFont="1" applyBorder="1" applyAlignment="1">
      <alignment horizontal="center"/>
    </xf>
    <xf numFmtId="0" fontId="135" fillId="0" borderId="0" xfId="174" applyFont="1"/>
    <xf numFmtId="3" fontId="25" fillId="0" borderId="40" xfId="220" applyNumberFormat="1" applyFont="1" applyBorder="1" applyAlignment="1">
      <alignment horizontal="center" wrapText="1"/>
    </xf>
    <xf numFmtId="3" fontId="25" fillId="0" borderId="45" xfId="220" applyNumberFormat="1" applyFont="1" applyBorder="1" applyAlignment="1">
      <alignment wrapText="1"/>
    </xf>
    <xf numFmtId="173" fontId="9" fillId="26" borderId="0" xfId="111" applyNumberFormat="1" applyFont="1" applyFill="1" applyAlignment="1" applyProtection="1">
      <protection locked="0"/>
    </xf>
    <xf numFmtId="41" fontId="13" fillId="0" borderId="10" xfId="281" applyNumberFormat="1" applyBorder="1"/>
    <xf numFmtId="0" fontId="13" fillId="0" borderId="40" xfId="174" applyBorder="1" applyAlignment="1">
      <alignment horizontal="center"/>
    </xf>
    <xf numFmtId="173" fontId="13" fillId="0" borderId="46" xfId="88" applyNumberFormat="1" applyFont="1" applyBorder="1"/>
    <xf numFmtId="3" fontId="25" fillId="0" borderId="45" xfId="220" applyNumberFormat="1" applyFont="1" applyBorder="1" applyAlignment="1">
      <alignment horizontal="center" wrapText="1"/>
    </xf>
    <xf numFmtId="173" fontId="9" fillId="30" borderId="0" xfId="88" applyNumberFormat="1" applyFont="1" applyFill="1" applyBorder="1" applyProtection="1">
      <protection locked="0"/>
    </xf>
    <xf numFmtId="0" fontId="13" fillId="0" borderId="16" xfId="174" applyBorder="1" applyAlignment="1">
      <alignment horizontal="center"/>
    </xf>
    <xf numFmtId="0" fontId="16" fillId="0" borderId="0" xfId="281" applyFont="1"/>
    <xf numFmtId="37" fontId="16" fillId="0" borderId="0" xfId="281" applyNumberFormat="1" applyFont="1"/>
    <xf numFmtId="172" fontId="16" fillId="0" borderId="0" xfId="274" applyFont="1"/>
    <xf numFmtId="0" fontId="13" fillId="0" borderId="0" xfId="271" applyAlignment="1">
      <alignment vertical="top"/>
    </xf>
    <xf numFmtId="0" fontId="13" fillId="0" borderId="0" xfId="174" applyAlignment="1">
      <alignment vertical="top" wrapText="1"/>
    </xf>
    <xf numFmtId="0" fontId="135" fillId="0" borderId="0" xfId="174" applyFont="1" applyAlignment="1">
      <alignment horizontal="center"/>
    </xf>
    <xf numFmtId="0" fontId="91" fillId="0" borderId="0" xfId="272" applyFont="1"/>
    <xf numFmtId="0" fontId="92" fillId="0" borderId="0" xfId="174" applyFont="1" applyAlignment="1">
      <alignment horizontal="center"/>
    </xf>
    <xf numFmtId="0" fontId="92" fillId="0" borderId="0" xfId="174" quotePrefix="1" applyFont="1" applyAlignment="1">
      <alignment horizontal="center"/>
    </xf>
    <xf numFmtId="0" fontId="10" fillId="0" borderId="0" xfId="272" applyFont="1" applyAlignment="1">
      <alignment horizontal="left"/>
    </xf>
    <xf numFmtId="173" fontId="13" fillId="0" borderId="0" xfId="88" applyNumberFormat="1" applyFont="1" applyFill="1" applyProtection="1"/>
    <xf numFmtId="0" fontId="13" fillId="0" borderId="0" xfId="272"/>
    <xf numFmtId="0" fontId="13" fillId="0" borderId="0" xfId="194"/>
    <xf numFmtId="0" fontId="13" fillId="0" borderId="0" xfId="272" applyAlignment="1">
      <alignment horizontal="left"/>
    </xf>
    <xf numFmtId="173" fontId="9" fillId="30" borderId="0" xfId="88" applyNumberFormat="1" applyFont="1" applyFill="1" applyProtection="1">
      <protection locked="0"/>
    </xf>
    <xf numFmtId="10" fontId="13" fillId="0" borderId="0" xfId="290" applyNumberFormat="1" applyFont="1" applyFill="1" applyBorder="1" applyProtection="1"/>
    <xf numFmtId="173" fontId="9" fillId="26" borderId="6" xfId="88" applyNumberFormat="1" applyFont="1" applyFill="1" applyBorder="1" applyAlignment="1" applyProtection="1">
      <protection locked="0"/>
    </xf>
    <xf numFmtId="10" fontId="10" fillId="0" borderId="0" xfId="290" applyNumberFormat="1" applyFont="1" applyFill="1" applyBorder="1" applyProtection="1"/>
    <xf numFmtId="0" fontId="10" fillId="0" borderId="0" xfId="272" applyFont="1"/>
    <xf numFmtId="173" fontId="10" fillId="0" borderId="0" xfId="290" applyNumberFormat="1" applyFont="1" applyFill="1" applyBorder="1" applyProtection="1"/>
    <xf numFmtId="173" fontId="13" fillId="0" borderId="0" xfId="290" applyNumberFormat="1" applyFont="1" applyFill="1" applyBorder="1" applyProtection="1"/>
    <xf numFmtId="10" fontId="10" fillId="0" borderId="18" xfId="290" applyNumberFormat="1" applyFont="1" applyFill="1" applyBorder="1" applyProtection="1"/>
    <xf numFmtId="0" fontId="101" fillId="0" borderId="0" xfId="194" applyFont="1" applyAlignment="1">
      <alignment horizontal="center"/>
    </xf>
    <xf numFmtId="0" fontId="13" fillId="0" borderId="0" xfId="277" applyNumberFormat="1" applyFont="1" applyAlignment="1" applyProtection="1">
      <alignment horizontal="center" vertical="center"/>
    </xf>
    <xf numFmtId="0" fontId="136" fillId="0" borderId="0" xfId="194" applyFont="1"/>
    <xf numFmtId="0" fontId="13" fillId="0" borderId="0" xfId="277" applyNumberFormat="1" applyFont="1" applyAlignment="1" applyProtection="1">
      <alignment horizontal="center" vertical="top"/>
    </xf>
    <xf numFmtId="0" fontId="64" fillId="0" borderId="0" xfId="194" applyFont="1" applyAlignment="1">
      <alignment vertical="top" wrapText="1"/>
    </xf>
    <xf numFmtId="0" fontId="10" fillId="0" borderId="0" xfId="277" applyNumberFormat="1" applyFont="1" applyAlignment="1" applyProtection="1">
      <alignment horizontal="center" vertical="center"/>
    </xf>
    <xf numFmtId="0" fontId="23" fillId="0" borderId="0" xfId="194" applyFont="1"/>
    <xf numFmtId="41" fontId="10" fillId="0" borderId="0" xfId="272" applyNumberFormat="1" applyFont="1" applyAlignment="1">
      <alignment horizontal="center" wrapText="1"/>
    </xf>
    <xf numFmtId="0" fontId="10" fillId="0" borderId="0" xfId="272" applyFont="1" applyAlignment="1">
      <alignment horizontal="center" wrapText="1"/>
    </xf>
    <xf numFmtId="0" fontId="9" fillId="26" borderId="0" xfId="272" applyFont="1" applyFill="1" applyProtection="1">
      <protection locked="0"/>
    </xf>
    <xf numFmtId="173" fontId="137" fillId="26" borderId="0" xfId="88" applyNumberFormat="1" applyFont="1" applyFill="1" applyProtection="1">
      <protection locked="0"/>
    </xf>
    <xf numFmtId="196" fontId="13" fillId="0" borderId="0" xfId="279" applyNumberFormat="1" applyAlignment="1" applyProtection="1">
      <alignment horizontal="center"/>
      <protection locked="0"/>
    </xf>
    <xf numFmtId="37" fontId="9" fillId="26" borderId="0" xfId="272" applyNumberFormat="1" applyFont="1" applyFill="1" applyProtection="1">
      <protection locked="0"/>
    </xf>
    <xf numFmtId="0" fontId="137" fillId="26" borderId="0" xfId="272" applyFont="1" applyFill="1" applyProtection="1">
      <protection locked="0"/>
    </xf>
    <xf numFmtId="197" fontId="13" fillId="0" borderId="0" xfId="279" applyNumberFormat="1" applyAlignment="1" applyProtection="1">
      <alignment horizontal="center"/>
      <protection locked="0"/>
    </xf>
    <xf numFmtId="14" fontId="13" fillId="0" borderId="0" xfId="279" applyNumberFormat="1" applyAlignment="1" applyProtection="1">
      <alignment horizontal="center"/>
      <protection locked="0"/>
    </xf>
    <xf numFmtId="0" fontId="13" fillId="0" borderId="11" xfId="194" applyBorder="1"/>
    <xf numFmtId="0" fontId="16" fillId="0" borderId="11" xfId="272" applyFont="1" applyBorder="1"/>
    <xf numFmtId="0" fontId="10" fillId="0" borderId="2" xfId="272" applyFont="1" applyBorder="1" applyAlignment="1">
      <alignment horizontal="left"/>
    </xf>
    <xf numFmtId="173" fontId="13" fillId="0" borderId="2" xfId="290" applyNumberFormat="1" applyFont="1" applyFill="1" applyBorder="1" applyProtection="1"/>
    <xf numFmtId="173" fontId="10" fillId="0" borderId="0" xfId="88" applyNumberFormat="1" applyFont="1" applyFill="1" applyBorder="1" applyProtection="1"/>
    <xf numFmtId="0" fontId="91" fillId="0" borderId="0" xfId="272" applyFont="1" applyAlignment="1">
      <alignment horizontal="left"/>
    </xf>
    <xf numFmtId="0" fontId="13" fillId="0" borderId="0" xfId="277" applyNumberFormat="1" applyFont="1" applyAlignment="1" applyProtection="1">
      <alignment horizontal="center" wrapText="1"/>
    </xf>
    <xf numFmtId="173" fontId="16" fillId="0" borderId="0" xfId="174" applyNumberFormat="1" applyFont="1"/>
    <xf numFmtId="0" fontId="16" fillId="0" borderId="2" xfId="174" applyFont="1" applyBorder="1"/>
    <xf numFmtId="188" fontId="6" fillId="0" borderId="0" xfId="277" applyNumberFormat="1" applyFont="1" applyAlignment="1" applyProtection="1">
      <alignment horizontal="center"/>
    </xf>
    <xf numFmtId="41" fontId="6" fillId="0" borderId="11" xfId="277" applyNumberFormat="1" applyFont="1" applyBorder="1" applyProtection="1"/>
    <xf numFmtId="0" fontId="6" fillId="0" borderId="0" xfId="174" applyFont="1" applyAlignment="1">
      <alignment horizontal="center"/>
    </xf>
    <xf numFmtId="0" fontId="64" fillId="0" borderId="0" xfId="174" applyFont="1"/>
    <xf numFmtId="0" fontId="6" fillId="0" borderId="0" xfId="174" applyFont="1"/>
    <xf numFmtId="173" fontId="6" fillId="32" borderId="0" xfId="86" applyNumberFormat="1" applyFont="1" applyFill="1" applyAlignment="1" applyProtection="1">
      <alignment horizontal="right"/>
    </xf>
    <xf numFmtId="179" fontId="6" fillId="0" borderId="0" xfId="277" applyNumberFormat="1" applyFont="1" applyAlignment="1" applyProtection="1">
      <alignment horizontal="center"/>
    </xf>
    <xf numFmtId="0" fontId="13" fillId="0" borderId="0" xfId="0" applyFont="1" applyAlignment="1">
      <alignment horizontal="left"/>
    </xf>
    <xf numFmtId="0" fontId="14" fillId="0" borderId="0" xfId="0" applyFont="1" applyAlignment="1">
      <alignment horizontal="left"/>
    </xf>
    <xf numFmtId="0" fontId="10" fillId="0" borderId="0" xfId="283" applyFont="1"/>
    <xf numFmtId="0" fontId="13" fillId="0" borderId="0" xfId="283" applyFont="1"/>
    <xf numFmtId="0" fontId="13" fillId="0" borderId="0" xfId="0" applyFont="1" applyAlignment="1">
      <alignment vertical="top"/>
    </xf>
    <xf numFmtId="41" fontId="20" fillId="0" borderId="0" xfId="270" applyNumberFormat="1" applyFont="1" applyProtection="1">
      <protection locked="0"/>
    </xf>
    <xf numFmtId="0" fontId="7" fillId="0" borderId="0" xfId="270" applyFont="1"/>
    <xf numFmtId="0" fontId="74" fillId="0" borderId="0" xfId="278" applyFont="1" applyAlignment="1">
      <alignment wrapText="1"/>
    </xf>
    <xf numFmtId="0" fontId="7" fillId="0" borderId="0" xfId="271" applyFont="1" applyAlignment="1">
      <alignment horizontal="center"/>
    </xf>
    <xf numFmtId="0" fontId="7" fillId="0" borderId="0" xfId="271" quotePrefix="1" applyFont="1" applyAlignment="1">
      <alignment horizontal="center"/>
    </xf>
    <xf numFmtId="0" fontId="7" fillId="0" borderId="0" xfId="271" applyFont="1" applyAlignment="1">
      <alignment horizontal="left" vertical="center" wrapText="1"/>
    </xf>
    <xf numFmtId="0" fontId="7" fillId="0" borderId="0" xfId="271" applyFont="1" applyAlignment="1">
      <alignment horizontal="center" vertical="center" wrapText="1"/>
    </xf>
    <xf numFmtId="0" fontId="7" fillId="0" borderId="0" xfId="271" quotePrefix="1" applyFont="1" applyAlignment="1">
      <alignment horizontal="center" vertical="center" wrapText="1"/>
    </xf>
    <xf numFmtId="0" fontId="13" fillId="0" borderId="0" xfId="273" applyAlignment="1">
      <alignment horizontal="left"/>
    </xf>
    <xf numFmtId="0" fontId="139" fillId="0" borderId="0" xfId="0" applyFont="1" applyAlignment="1">
      <alignment vertical="center"/>
    </xf>
    <xf numFmtId="0" fontId="140" fillId="0" borderId="0" xfId="220" applyFont="1"/>
    <xf numFmtId="0" fontId="141" fillId="0" borderId="0" xfId="220" applyFont="1" applyAlignment="1">
      <alignment horizontal="center"/>
    </xf>
    <xf numFmtId="3" fontId="142" fillId="0" borderId="0" xfId="220" applyNumberFormat="1" applyFont="1" applyAlignment="1">
      <alignment horizontal="center"/>
    </xf>
    <xf numFmtId="0" fontId="140" fillId="0" borderId="0" xfId="0" applyFont="1"/>
    <xf numFmtId="0" fontId="143" fillId="0" borderId="0" xfId="220" applyFont="1"/>
    <xf numFmtId="0" fontId="142" fillId="0" borderId="0" xfId="220" applyFont="1" applyAlignment="1">
      <alignment horizontal="center"/>
    </xf>
    <xf numFmtId="0" fontId="141" fillId="0" borderId="0" xfId="219" applyFont="1"/>
    <xf numFmtId="0" fontId="141" fillId="0" borderId="0" xfId="220" applyFont="1"/>
    <xf numFmtId="0" fontId="144" fillId="0" borderId="0" xfId="220" applyFont="1" applyAlignment="1">
      <alignment horizontal="left"/>
    </xf>
    <xf numFmtId="0" fontId="144" fillId="0" borderId="0" xfId="220" applyFont="1"/>
    <xf numFmtId="3" fontId="141" fillId="0" borderId="0" xfId="220" applyNumberFormat="1" applyFont="1"/>
    <xf numFmtId="1" fontId="145" fillId="0" borderId="0" xfId="220" applyNumberFormat="1" applyFont="1" applyAlignment="1">
      <alignment horizontal="center"/>
    </xf>
    <xf numFmtId="172" fontId="141" fillId="0" borderId="0" xfId="276" applyFont="1" applyProtection="1"/>
    <xf numFmtId="6" fontId="140" fillId="0" borderId="0" xfId="220" applyNumberFormat="1" applyFont="1"/>
    <xf numFmtId="0" fontId="146" fillId="0" borderId="0" xfId="220" applyFont="1"/>
    <xf numFmtId="0" fontId="141" fillId="0" borderId="0" xfId="0" applyFont="1"/>
    <xf numFmtId="0" fontId="141" fillId="0" borderId="6" xfId="220" applyFont="1" applyBorder="1" applyAlignment="1">
      <alignment horizontal="center"/>
    </xf>
    <xf numFmtId="0" fontId="141" fillId="0" borderId="6" xfId="0" applyFont="1" applyBorder="1"/>
    <xf numFmtId="172" fontId="141" fillId="0" borderId="6" xfId="276" applyFont="1" applyBorder="1" applyProtection="1"/>
    <xf numFmtId="170" fontId="141" fillId="0" borderId="0" xfId="0" applyNumberFormat="1" applyFont="1"/>
    <xf numFmtId="170" fontId="141" fillId="0" borderId="0" xfId="220" applyNumberFormat="1" applyFont="1"/>
    <xf numFmtId="0" fontId="6" fillId="0" borderId="0" xfId="277" applyNumberFormat="1" applyFont="1" applyAlignment="1" applyProtection="1">
      <alignment horizontal="left" indent="2"/>
    </xf>
    <xf numFmtId="173" fontId="9" fillId="30" borderId="0" xfId="112" applyNumberFormat="1" applyFont="1" applyFill="1" applyAlignment="1" applyProtection="1">
      <protection locked="0"/>
    </xf>
    <xf numFmtId="173" fontId="9" fillId="30" borderId="33" xfId="112" applyNumberFormat="1" applyFont="1" applyFill="1" applyBorder="1" applyAlignment="1" applyProtection="1">
      <protection locked="0"/>
    </xf>
    <xf numFmtId="173" fontId="9" fillId="30" borderId="0" xfId="111" applyNumberFormat="1" applyFont="1" applyFill="1" applyAlignment="1" applyProtection="1">
      <protection locked="0"/>
    </xf>
    <xf numFmtId="0" fontId="64" fillId="30" borderId="0" xfId="0" applyFont="1" applyFill="1" applyProtection="1">
      <protection locked="0"/>
    </xf>
    <xf numFmtId="0" fontId="64" fillId="30" borderId="0" xfId="0" quotePrefix="1" applyFont="1" applyFill="1" applyProtection="1">
      <protection locked="0"/>
    </xf>
    <xf numFmtId="0" fontId="6" fillId="30" borderId="0" xfId="0" applyFont="1" applyFill="1" applyAlignment="1" applyProtection="1">
      <alignment horizontal="center"/>
      <protection locked="0"/>
    </xf>
    <xf numFmtId="0" fontId="157" fillId="30" borderId="0" xfId="0" applyFont="1" applyFill="1" applyAlignment="1" applyProtection="1">
      <alignment horizontal="left" vertical="top"/>
      <protection locked="0"/>
    </xf>
    <xf numFmtId="0" fontId="13" fillId="33" borderId="30" xfId="0" applyFont="1" applyFill="1" applyBorder="1" applyAlignment="1">
      <alignment horizontal="center"/>
    </xf>
    <xf numFmtId="173" fontId="154" fillId="30" borderId="20" xfId="116" applyNumberFormat="1" applyFont="1" applyFill="1" applyBorder="1" applyAlignment="1" applyProtection="1">
      <alignment horizontal="right"/>
      <protection locked="0"/>
    </xf>
    <xf numFmtId="173" fontId="9" fillId="30" borderId="20" xfId="116" applyNumberFormat="1" applyFont="1" applyFill="1" applyBorder="1" applyAlignment="1" applyProtection="1">
      <alignment horizontal="right"/>
      <protection locked="0"/>
    </xf>
    <xf numFmtId="178" fontId="7" fillId="0" borderId="0" xfId="277" applyNumberFormat="1" applyFont="1" applyProtection="1"/>
    <xf numFmtId="10" fontId="6" fillId="33" borderId="0" xfId="277" applyNumberFormat="1" applyFont="1" applyFill="1" applyProtection="1"/>
    <xf numFmtId="0" fontId="123" fillId="0" borderId="0" xfId="0" applyFont="1" applyAlignment="1">
      <alignment wrapText="1"/>
    </xf>
    <xf numFmtId="10" fontId="4" fillId="0" borderId="11" xfId="302" applyNumberFormat="1" applyFont="1" applyBorder="1" applyAlignment="1" applyProtection="1">
      <alignment horizontal="center"/>
    </xf>
    <xf numFmtId="10" fontId="78" fillId="0" borderId="35" xfId="302" applyNumberFormat="1" applyFont="1" applyBorder="1" applyAlignment="1" applyProtection="1">
      <alignment horizontal="center"/>
    </xf>
    <xf numFmtId="0" fontId="13" fillId="32" borderId="30" xfId="0" applyFont="1" applyFill="1" applyBorder="1" applyAlignment="1">
      <alignment horizontal="center"/>
    </xf>
    <xf numFmtId="41" fontId="9" fillId="30" borderId="0" xfId="270" applyNumberFormat="1" applyFont="1" applyFill="1" applyProtection="1">
      <protection locked="0"/>
    </xf>
    <xf numFmtId="10" fontId="6" fillId="0" borderId="0" xfId="290" applyNumberFormat="1" applyFont="1" applyFill="1" applyAlignment="1" applyProtection="1"/>
    <xf numFmtId="37" fontId="9" fillId="26" borderId="0" xfId="174" applyNumberFormat="1" applyFont="1" applyFill="1" applyProtection="1">
      <protection locked="0"/>
    </xf>
    <xf numFmtId="0" fontId="25" fillId="0" borderId="0" xfId="223" applyFont="1"/>
    <xf numFmtId="0" fontId="25" fillId="0" borderId="0" xfId="223" applyFont="1" applyAlignment="1">
      <alignment horizontal="center"/>
    </xf>
    <xf numFmtId="0" fontId="13" fillId="0" borderId="0" xfId="223" applyFont="1" applyAlignment="1">
      <alignment horizontal="right"/>
    </xf>
    <xf numFmtId="14" fontId="25" fillId="0" borderId="0" xfId="223" applyNumberFormat="1" applyFont="1"/>
    <xf numFmtId="0" fontId="25" fillId="0" borderId="0" xfId="174" applyFont="1"/>
    <xf numFmtId="41" fontId="25" fillId="0" borderId="0" xfId="223" applyNumberFormat="1" applyFont="1"/>
    <xf numFmtId="10" fontId="25" fillId="0" borderId="0" xfId="291" applyNumberFormat="1" applyFont="1"/>
    <xf numFmtId="0" fontId="25" fillId="0" borderId="0" xfId="0" applyFont="1"/>
    <xf numFmtId="0" fontId="25" fillId="0" borderId="11" xfId="223" applyFont="1" applyBorder="1"/>
    <xf numFmtId="0" fontId="26" fillId="0" borderId="11" xfId="223" applyFont="1" applyBorder="1" applyAlignment="1">
      <alignment horizontal="center"/>
    </xf>
    <xf numFmtId="0" fontId="26" fillId="0" borderId="11" xfId="223" applyFont="1" applyBorder="1" applyAlignment="1">
      <alignment horizontal="center" wrapText="1"/>
    </xf>
    <xf numFmtId="0" fontId="26" fillId="0" borderId="13" xfId="223" applyFont="1" applyBorder="1" applyAlignment="1">
      <alignment horizontal="center" wrapText="1"/>
    </xf>
    <xf numFmtId="0" fontId="26" fillId="0" borderId="0" xfId="223" applyFont="1" applyAlignment="1">
      <alignment horizontal="center"/>
    </xf>
    <xf numFmtId="0" fontId="26" fillId="0" borderId="0" xfId="223" applyFont="1" applyAlignment="1">
      <alignment horizontal="center" wrapText="1"/>
    </xf>
    <xf numFmtId="0" fontId="26" fillId="0" borderId="0" xfId="223" applyFont="1" applyAlignment="1">
      <alignment horizontal="left"/>
    </xf>
    <xf numFmtId="0" fontId="25" fillId="35" borderId="0" xfId="223" applyFont="1" applyFill="1"/>
    <xf numFmtId="49" fontId="25" fillId="0" borderId="0" xfId="223" applyNumberFormat="1" applyFont="1" applyAlignment="1">
      <alignment horizontal="center"/>
    </xf>
    <xf numFmtId="41" fontId="25" fillId="30" borderId="12" xfId="271" applyNumberFormat="1" applyFont="1" applyFill="1" applyBorder="1" applyProtection="1">
      <protection locked="0"/>
    </xf>
    <xf numFmtId="173" fontId="25" fillId="36" borderId="12" xfId="117" applyNumberFormat="1" applyFont="1" applyFill="1" applyBorder="1"/>
    <xf numFmtId="173" fontId="25" fillId="0" borderId="47" xfId="117" applyNumberFormat="1" applyFont="1" applyFill="1" applyBorder="1"/>
    <xf numFmtId="173" fontId="25" fillId="0" borderId="12" xfId="117" applyNumberFormat="1" applyFont="1" applyFill="1" applyBorder="1"/>
    <xf numFmtId="41" fontId="25" fillId="30" borderId="0" xfId="271" applyNumberFormat="1" applyFont="1" applyFill="1" applyProtection="1">
      <protection locked="0"/>
    </xf>
    <xf numFmtId="41" fontId="25" fillId="0" borderId="0" xfId="223" applyNumberFormat="1" applyFont="1" applyAlignment="1">
      <alignment horizontal="center"/>
    </xf>
    <xf numFmtId="0" fontId="26" fillId="0" borderId="0" xfId="223" applyFont="1"/>
    <xf numFmtId="173" fontId="25" fillId="36" borderId="47" xfId="117" applyNumberFormat="1" applyFont="1" applyFill="1" applyBorder="1"/>
    <xf numFmtId="41" fontId="25" fillId="0" borderId="12" xfId="174" applyNumberFormat="1" applyFont="1" applyBorder="1"/>
    <xf numFmtId="41" fontId="25" fillId="30" borderId="33" xfId="271" applyNumberFormat="1" applyFont="1" applyFill="1" applyBorder="1" applyAlignment="1" applyProtection="1">
      <alignment vertical="top"/>
      <protection locked="0"/>
    </xf>
    <xf numFmtId="0" fontId="25" fillId="0" borderId="0" xfId="223" applyFont="1" applyAlignment="1">
      <alignment wrapText="1"/>
    </xf>
    <xf numFmtId="173" fontId="25" fillId="36" borderId="0" xfId="117" applyNumberFormat="1" applyFont="1" applyFill="1" applyBorder="1"/>
    <xf numFmtId="41" fontId="25" fillId="30" borderId="48" xfId="271" applyNumberFormat="1" applyFont="1" applyFill="1" applyBorder="1" applyProtection="1">
      <protection locked="0"/>
    </xf>
    <xf numFmtId="173" fontId="25" fillId="0" borderId="0" xfId="117" applyNumberFormat="1" applyFont="1" applyFill="1" applyBorder="1"/>
    <xf numFmtId="173" fontId="25" fillId="0" borderId="0" xfId="117" applyNumberFormat="1" applyFont="1" applyBorder="1" applyAlignment="1">
      <alignment wrapText="1"/>
    </xf>
    <xf numFmtId="0" fontId="25" fillId="0" borderId="0" xfId="223" applyFont="1" applyAlignment="1">
      <alignment horizontal="left"/>
    </xf>
    <xf numFmtId="173" fontId="25" fillId="0" borderId="0" xfId="117" applyNumberFormat="1" applyFont="1" applyAlignment="1">
      <alignment wrapText="1"/>
    </xf>
    <xf numFmtId="0" fontId="25" fillId="0" borderId="0" xfId="223" applyFont="1" applyAlignment="1">
      <alignment horizontal="left" vertical="center"/>
    </xf>
    <xf numFmtId="0" fontId="25" fillId="0" borderId="0" xfId="223" applyFont="1" applyAlignment="1">
      <alignment vertical="top" wrapText="1"/>
    </xf>
    <xf numFmtId="173" fontId="25" fillId="0" borderId="0" xfId="223" applyNumberFormat="1" applyFont="1"/>
    <xf numFmtId="0" fontId="25" fillId="0" borderId="0" xfId="223" applyFont="1" applyAlignment="1">
      <alignment vertical="top"/>
    </xf>
    <xf numFmtId="0" fontId="26" fillId="0" borderId="0" xfId="223" applyFont="1" applyAlignment="1">
      <alignment horizontal="left" vertical="center"/>
    </xf>
    <xf numFmtId="173" fontId="25" fillId="0" borderId="0" xfId="223" applyNumberFormat="1" applyFont="1" applyAlignment="1">
      <alignment horizontal="left" vertical="center"/>
    </xf>
    <xf numFmtId="3" fontId="20" fillId="30" borderId="6" xfId="277" applyNumberFormat="1" applyFont="1" applyFill="1" applyBorder="1" applyProtection="1">
      <protection locked="0"/>
    </xf>
    <xf numFmtId="9" fontId="25" fillId="0" borderId="0" xfId="290" applyFont="1"/>
    <xf numFmtId="173" fontId="25" fillId="0" borderId="0" xfId="88" applyNumberFormat="1" applyFont="1" applyBorder="1" applyAlignment="1">
      <alignment horizontal="center"/>
    </xf>
    <xf numFmtId="41" fontId="25" fillId="30" borderId="33" xfId="271" applyNumberFormat="1" applyFont="1" applyFill="1" applyBorder="1" applyAlignment="1" applyProtection="1">
      <alignment vertical="center" wrapText="1"/>
      <protection locked="0"/>
    </xf>
    <xf numFmtId="1" fontId="25" fillId="0" borderId="14" xfId="88" applyNumberFormat="1" applyFont="1" applyBorder="1" applyAlignment="1"/>
    <xf numFmtId="173" fontId="25" fillId="0" borderId="14" xfId="88" applyNumberFormat="1" applyFont="1" applyBorder="1" applyAlignment="1"/>
    <xf numFmtId="177" fontId="25" fillId="0" borderId="14" xfId="88" applyNumberFormat="1" applyFont="1" applyBorder="1" applyAlignment="1"/>
    <xf numFmtId="1" fontId="25" fillId="0" borderId="0" xfId="88" applyNumberFormat="1" applyFont="1" applyBorder="1" applyAlignment="1"/>
    <xf numFmtId="177" fontId="25" fillId="0" borderId="0" xfId="88" applyNumberFormat="1" applyFont="1" applyBorder="1" applyAlignment="1"/>
    <xf numFmtId="173" fontId="25" fillId="0" borderId="1" xfId="88" applyNumberFormat="1" applyFont="1" applyBorder="1" applyAlignment="1">
      <alignment horizontal="center"/>
    </xf>
    <xf numFmtId="173" fontId="25" fillId="0" borderId="0" xfId="88" applyNumberFormat="1" applyFont="1" applyBorder="1" applyAlignment="1"/>
    <xf numFmtId="0" fontId="4" fillId="0" borderId="0" xfId="280"/>
    <xf numFmtId="0" fontId="103" fillId="0" borderId="0" xfId="280" applyFont="1"/>
    <xf numFmtId="0" fontId="104" fillId="0" borderId="0" xfId="280" applyFont="1"/>
    <xf numFmtId="0" fontId="105" fillId="0" borderId="0" xfId="280" applyFont="1" applyAlignment="1">
      <alignment horizontal="center"/>
    </xf>
    <xf numFmtId="0" fontId="114" fillId="0" borderId="0" xfId="280" applyFont="1" applyAlignment="1">
      <alignment horizontal="center"/>
    </xf>
    <xf numFmtId="0" fontId="4" fillId="0" borderId="0" xfId="280" applyAlignment="1">
      <alignment horizontal="center"/>
    </xf>
    <xf numFmtId="0" fontId="106" fillId="0" borderId="15" xfId="280" applyFont="1" applyBorder="1"/>
    <xf numFmtId="0" fontId="104" fillId="0" borderId="15" xfId="280" applyFont="1" applyBorder="1"/>
    <xf numFmtId="176" fontId="4" fillId="0" borderId="15" xfId="280" applyNumberFormat="1" applyBorder="1"/>
    <xf numFmtId="0" fontId="106" fillId="0" borderId="0" xfId="280" applyFont="1"/>
    <xf numFmtId="176" fontId="4" fillId="0" borderId="0" xfId="280" applyNumberFormat="1"/>
    <xf numFmtId="0" fontId="4" fillId="0" borderId="0" xfId="280" applyAlignment="1">
      <alignment horizontal="left"/>
    </xf>
    <xf numFmtId="193" fontId="4" fillId="0" borderId="0" xfId="280" applyNumberFormat="1"/>
    <xf numFmtId="10" fontId="4" fillId="0" borderId="0" xfId="280" applyNumberFormat="1"/>
    <xf numFmtId="192" fontId="4" fillId="0" borderId="0" xfId="280" applyNumberFormat="1"/>
    <xf numFmtId="0" fontId="4" fillId="0" borderId="0" xfId="280" applyAlignment="1">
      <alignment wrapText="1"/>
    </xf>
    <xf numFmtId="0" fontId="107" fillId="0" borderId="39" xfId="280" applyFont="1" applyBorder="1"/>
    <xf numFmtId="0" fontId="83" fillId="0" borderId="2" xfId="280" applyFont="1" applyBorder="1" applyAlignment="1">
      <alignment horizontal="center"/>
    </xf>
    <xf numFmtId="0" fontId="83" fillId="0" borderId="32" xfId="280" applyFont="1" applyBorder="1" applyAlignment="1">
      <alignment horizontal="center"/>
    </xf>
    <xf numFmtId="0" fontId="4" fillId="0" borderId="33" xfId="280" applyBorder="1"/>
    <xf numFmtId="3" fontId="4" fillId="0" borderId="0" xfId="280" applyNumberFormat="1"/>
    <xf numFmtId="3" fontId="4" fillId="0" borderId="34" xfId="280" applyNumberFormat="1" applyBorder="1"/>
    <xf numFmtId="0" fontId="6" fillId="0" borderId="33" xfId="280" applyFont="1" applyBorder="1"/>
    <xf numFmtId="0" fontId="4" fillId="0" borderId="40" xfId="280" applyBorder="1"/>
    <xf numFmtId="170" fontId="145" fillId="30" borderId="0" xfId="276" applyNumberFormat="1" applyFont="1" applyFill="1" applyAlignment="1" applyProtection="1">
      <alignment horizontal="right"/>
      <protection locked="0"/>
    </xf>
    <xf numFmtId="170" fontId="141" fillId="0" borderId="0" xfId="276" applyNumberFormat="1" applyFont="1" applyAlignment="1" applyProtection="1">
      <alignment horizontal="right"/>
    </xf>
    <xf numFmtId="171" fontId="141" fillId="0" borderId="0" xfId="276" applyNumberFormat="1" applyFont="1" applyProtection="1"/>
    <xf numFmtId="171" fontId="141" fillId="33" borderId="0" xfId="276" applyNumberFormat="1" applyFont="1" applyFill="1" applyProtection="1">
      <protection locked="0"/>
    </xf>
    <xf numFmtId="3" fontId="145" fillId="30" borderId="0" xfId="114" applyNumberFormat="1" applyFont="1" applyFill="1" applyBorder="1" applyAlignment="1" applyProtection="1">
      <alignment horizontal="right"/>
      <protection locked="0"/>
    </xf>
    <xf numFmtId="170" fontId="141" fillId="0" borderId="0" xfId="276" applyNumberFormat="1" applyFont="1" applyProtection="1"/>
    <xf numFmtId="170" fontId="145" fillId="30" borderId="0" xfId="0" applyNumberFormat="1" applyFont="1" applyFill="1" applyAlignment="1" applyProtection="1">
      <alignment horizontal="right"/>
      <protection locked="0"/>
    </xf>
    <xf numFmtId="170" fontId="145" fillId="30" borderId="6" xfId="0" applyNumberFormat="1" applyFont="1" applyFill="1" applyBorder="1" applyAlignment="1" applyProtection="1">
      <alignment horizontal="right"/>
      <protection locked="0"/>
    </xf>
    <xf numFmtId="49" fontId="3" fillId="0" borderId="0" xfId="360" applyNumberFormat="1"/>
    <xf numFmtId="0" fontId="3" fillId="0" borderId="0" xfId="360"/>
    <xf numFmtId="0" fontId="6" fillId="0" borderId="0" xfId="360" applyFont="1" applyAlignment="1">
      <alignment horizontal="right"/>
    </xf>
    <xf numFmtId="173" fontId="3" fillId="0" borderId="0" xfId="361" applyNumberFormat="1" applyFont="1"/>
    <xf numFmtId="0" fontId="25" fillId="0" borderId="0" xfId="362" applyFont="1" applyAlignment="1">
      <alignment horizontal="right"/>
    </xf>
    <xf numFmtId="0" fontId="3" fillId="0" borderId="0" xfId="362" applyFont="1" applyAlignment="1">
      <alignment horizontal="right"/>
    </xf>
    <xf numFmtId="0" fontId="3" fillId="0" borderId="0" xfId="363"/>
    <xf numFmtId="41" fontId="10" fillId="0" borderId="0" xfId="364" applyNumberFormat="1" applyFont="1" applyAlignment="1" applyProtection="1">
      <alignment horizontal="center"/>
      <protection locked="0"/>
    </xf>
    <xf numFmtId="2" fontId="3" fillId="0" borderId="0" xfId="360" applyNumberFormat="1" applyAlignment="1">
      <alignment horizontal="center"/>
    </xf>
    <xf numFmtId="0" fontId="3" fillId="0" borderId="0" xfId="360" applyAlignment="1">
      <alignment horizontal="center"/>
    </xf>
    <xf numFmtId="2" fontId="3" fillId="0" borderId="0" xfId="360" applyNumberFormat="1"/>
    <xf numFmtId="0" fontId="3" fillId="0" borderId="0" xfId="360" applyAlignment="1">
      <alignment wrapText="1"/>
    </xf>
    <xf numFmtId="0" fontId="3" fillId="0" borderId="0" xfId="360" applyAlignment="1">
      <alignment horizontal="center" wrapText="1"/>
    </xf>
    <xf numFmtId="1" fontId="3" fillId="0" borderId="0" xfId="360" applyNumberFormat="1" applyAlignment="1">
      <alignment horizontal="center"/>
    </xf>
    <xf numFmtId="49" fontId="3" fillId="0" borderId="0" xfId="361" applyNumberFormat="1" applyFont="1"/>
    <xf numFmtId="173" fontId="3" fillId="0" borderId="11" xfId="361" applyNumberFormat="1" applyFont="1" applyBorder="1"/>
    <xf numFmtId="173" fontId="3" fillId="0" borderId="0" xfId="361" applyNumberFormat="1" applyFont="1" applyFill="1"/>
    <xf numFmtId="10" fontId="3" fillId="0" borderId="0" xfId="365" applyNumberFormat="1" applyFont="1" applyFill="1" applyAlignment="1"/>
    <xf numFmtId="9" fontId="3" fillId="0" borderId="0" xfId="365" applyFont="1"/>
    <xf numFmtId="9" fontId="3" fillId="0" borderId="0" xfId="365" applyFont="1" applyFill="1"/>
    <xf numFmtId="43" fontId="3" fillId="0" borderId="0" xfId="361" applyFont="1" applyFill="1"/>
    <xf numFmtId="10" fontId="3" fillId="0" borderId="0" xfId="365" applyNumberFormat="1" applyFont="1" applyFill="1"/>
    <xf numFmtId="173" fontId="3" fillId="0" borderId="13" xfId="361" applyNumberFormat="1" applyFont="1" applyBorder="1"/>
    <xf numFmtId="173" fontId="3" fillId="0" borderId="0" xfId="361" applyNumberFormat="1" applyFont="1" applyBorder="1"/>
    <xf numFmtId="10" fontId="3" fillId="0" borderId="0" xfId="365" applyNumberFormat="1" applyFont="1"/>
    <xf numFmtId="0" fontId="16" fillId="0" borderId="0" xfId="360" applyFont="1"/>
    <xf numFmtId="0" fontId="16" fillId="0" borderId="0" xfId="360" applyFont="1" applyAlignment="1">
      <alignment vertical="top"/>
    </xf>
    <xf numFmtId="0" fontId="3" fillId="0" borderId="0" xfId="360" applyAlignment="1">
      <alignment vertical="center"/>
    </xf>
    <xf numFmtId="0" fontId="156" fillId="0" borderId="0" xfId="360" applyFont="1" applyAlignment="1">
      <alignment vertical="center"/>
    </xf>
    <xf numFmtId="0" fontId="156" fillId="0" borderId="0" xfId="360" applyFont="1" applyAlignment="1">
      <alignment vertical="center" wrapText="1"/>
    </xf>
    <xf numFmtId="173" fontId="9" fillId="26" borderId="2" xfId="111" applyNumberFormat="1" applyFont="1" applyFill="1" applyBorder="1" applyAlignment="1" applyProtection="1">
      <protection locked="0"/>
    </xf>
    <xf numFmtId="173" fontId="9" fillId="26" borderId="0" xfId="111" applyNumberFormat="1" applyFont="1" applyFill="1" applyBorder="1" applyAlignment="1" applyProtection="1">
      <protection locked="0"/>
    </xf>
    <xf numFmtId="173" fontId="9" fillId="26" borderId="11" xfId="111" applyNumberFormat="1" applyFont="1" applyFill="1" applyBorder="1" applyAlignment="1" applyProtection="1">
      <protection locked="0"/>
    </xf>
    <xf numFmtId="173" fontId="13" fillId="0" borderId="17" xfId="86" applyNumberFormat="1" applyFont="1" applyBorder="1" applyProtection="1"/>
    <xf numFmtId="193" fontId="4" fillId="0" borderId="6" xfId="280" applyNumberFormat="1" applyBorder="1"/>
    <xf numFmtId="10" fontId="4" fillId="0" borderId="6" xfId="280" applyNumberFormat="1" applyBorder="1"/>
    <xf numFmtId="193" fontId="4" fillId="0" borderId="17" xfId="280" applyNumberFormat="1" applyBorder="1"/>
    <xf numFmtId="10" fontId="4" fillId="0" borderId="17" xfId="280" applyNumberFormat="1" applyBorder="1"/>
    <xf numFmtId="198" fontId="4" fillId="0" borderId="0" xfId="280" applyNumberFormat="1" applyAlignment="1">
      <alignment horizontal="right"/>
    </xf>
    <xf numFmtId="169" fontId="6" fillId="0" borderId="6" xfId="277" applyNumberFormat="1" applyFont="1" applyBorder="1" applyProtection="1"/>
    <xf numFmtId="172" fontId="6" fillId="0" borderId="0" xfId="277" applyFont="1" applyAlignment="1" applyProtection="1">
      <alignment horizontal="left" wrapText="1"/>
    </xf>
    <xf numFmtId="0" fontId="3" fillId="0" borderId="0" xfId="369" applyAlignment="1">
      <alignment horizontal="center"/>
    </xf>
    <xf numFmtId="38" fontId="3" fillId="0" borderId="0" xfId="0" applyNumberFormat="1" applyFont="1"/>
    <xf numFmtId="0" fontId="156" fillId="0" borderId="2" xfId="0" applyFont="1" applyBorder="1"/>
    <xf numFmtId="0" fontId="156" fillId="0" borderId="32" xfId="0" applyFont="1" applyBorder="1"/>
    <xf numFmtId="173" fontId="156" fillId="26" borderId="0" xfId="372" applyNumberFormat="1" applyFont="1" applyFill="1" applyBorder="1" applyAlignment="1">
      <alignment horizontal="right"/>
    </xf>
    <xf numFmtId="173" fontId="156" fillId="26" borderId="32" xfId="372" applyNumberFormat="1" applyFont="1" applyFill="1" applyBorder="1" applyAlignment="1">
      <alignment horizontal="right"/>
    </xf>
    <xf numFmtId="173" fontId="156" fillId="26" borderId="34" xfId="372" applyNumberFormat="1" applyFont="1" applyFill="1" applyBorder="1" applyAlignment="1">
      <alignment horizontal="right"/>
    </xf>
    <xf numFmtId="173" fontId="156" fillId="26" borderId="35" xfId="372" applyNumberFormat="1" applyFont="1" applyFill="1" applyBorder="1" applyAlignment="1">
      <alignment horizontal="right"/>
    </xf>
    <xf numFmtId="173" fontId="156" fillId="0" borderId="14" xfId="372" applyNumberFormat="1" applyFont="1" applyBorder="1"/>
    <xf numFmtId="173" fontId="156" fillId="0" borderId="41" xfId="372" applyNumberFormat="1" applyFont="1" applyBorder="1"/>
    <xf numFmtId="173" fontId="9" fillId="26" borderId="0" xfId="372" applyNumberFormat="1" applyFont="1" applyFill="1" applyBorder="1" applyAlignment="1">
      <alignment horizontal="right"/>
    </xf>
    <xf numFmtId="173" fontId="9" fillId="26" borderId="32" xfId="372" applyNumberFormat="1" applyFont="1" applyFill="1" applyBorder="1" applyAlignment="1">
      <alignment horizontal="right"/>
    </xf>
    <xf numFmtId="173" fontId="9" fillId="26" borderId="34" xfId="372" applyNumberFormat="1" applyFont="1" applyFill="1" applyBorder="1" applyAlignment="1">
      <alignment horizontal="right"/>
    </xf>
    <xf numFmtId="173" fontId="3" fillId="0" borderId="14" xfId="372" applyNumberFormat="1" applyFont="1" applyBorder="1"/>
    <xf numFmtId="173" fontId="3" fillId="0" borderId="41" xfId="372" applyNumberFormat="1" applyFont="1" applyBorder="1"/>
    <xf numFmtId="0" fontId="10" fillId="0" borderId="2" xfId="281" applyFont="1" applyBorder="1" applyAlignment="1">
      <alignment horizontal="center" wrapText="1"/>
    </xf>
    <xf numFmtId="173" fontId="9" fillId="30" borderId="0" xfId="89" applyNumberFormat="1" applyFont="1" applyFill="1" applyBorder="1" applyAlignment="1">
      <alignment horizontal="right"/>
    </xf>
    <xf numFmtId="0" fontId="10" fillId="0" borderId="0" xfId="370" applyFont="1" applyAlignment="1">
      <alignment horizontal="center"/>
    </xf>
    <xf numFmtId="0" fontId="10" fillId="0" borderId="0" xfId="269" applyFont="1" applyAlignment="1">
      <alignment horizontal="center" wrapText="1"/>
    </xf>
    <xf numFmtId="0" fontId="10" fillId="0" borderId="0" xfId="370" applyFont="1" applyAlignment="1">
      <alignment horizontal="center" wrapText="1"/>
    </xf>
    <xf numFmtId="0" fontId="10" fillId="0" borderId="34" xfId="370" applyFont="1" applyBorder="1" applyAlignment="1">
      <alignment horizontal="center" wrapText="1"/>
    </xf>
    <xf numFmtId="0" fontId="10" fillId="0" borderId="34" xfId="370" applyFont="1" applyBorder="1" applyAlignment="1">
      <alignment horizontal="center"/>
    </xf>
    <xf numFmtId="3" fontId="25" fillId="0" borderId="11" xfId="371" applyNumberFormat="1" applyFont="1" applyBorder="1" applyAlignment="1">
      <alignment horizontal="center" wrapText="1"/>
    </xf>
    <xf numFmtId="3" fontId="25" fillId="0" borderId="35" xfId="371" applyNumberFormat="1" applyFont="1" applyBorder="1" applyAlignment="1">
      <alignment horizontal="center" wrapText="1"/>
    </xf>
    <xf numFmtId="0" fontId="10" fillId="0" borderId="2" xfId="370" applyFont="1" applyBorder="1" applyAlignment="1">
      <alignment horizontal="center" wrapText="1"/>
    </xf>
    <xf numFmtId="0" fontId="10" fillId="0" borderId="32" xfId="370" applyFont="1" applyBorder="1" applyAlignment="1">
      <alignment horizontal="center" wrapText="1"/>
    </xf>
    <xf numFmtId="3" fontId="3" fillId="0" borderId="11" xfId="371" applyNumberFormat="1" applyBorder="1" applyAlignment="1">
      <alignment horizontal="center" wrapText="1"/>
    </xf>
    <xf numFmtId="3" fontId="3" fillId="0" borderId="35" xfId="371" applyNumberFormat="1" applyBorder="1" applyAlignment="1">
      <alignment horizontal="center" wrapText="1"/>
    </xf>
    <xf numFmtId="3" fontId="158" fillId="0" borderId="0" xfId="277" applyNumberFormat="1" applyFont="1" applyProtection="1"/>
    <xf numFmtId="3" fontId="158" fillId="0" borderId="0" xfId="277" applyNumberFormat="1" applyFont="1" applyAlignment="1" applyProtection="1">
      <alignment horizontal="center"/>
    </xf>
    <xf numFmtId="41" fontId="158" fillId="26" borderId="6" xfId="277" applyNumberFormat="1" applyFont="1" applyFill="1" applyBorder="1" applyProtection="1">
      <protection locked="0"/>
    </xf>
    <xf numFmtId="41" fontId="94" fillId="0" borderId="0" xfId="277" applyNumberFormat="1" applyFont="1" applyAlignment="1" applyProtection="1">
      <alignment horizontal="right"/>
    </xf>
    <xf numFmtId="178" fontId="7" fillId="0" borderId="0" xfId="277" applyNumberFormat="1" applyFont="1" applyAlignment="1" applyProtection="1">
      <alignment horizontal="right"/>
    </xf>
    <xf numFmtId="0" fontId="3" fillId="0" borderId="0" xfId="0" applyFont="1" applyAlignment="1">
      <alignment wrapText="1"/>
    </xf>
    <xf numFmtId="166" fontId="7" fillId="0" borderId="0" xfId="277" applyNumberFormat="1" applyFont="1" applyAlignment="1" applyProtection="1">
      <alignment horizontal="right"/>
    </xf>
    <xf numFmtId="184" fontId="6" fillId="0" borderId="0" xfId="277" applyNumberFormat="1" applyFont="1" applyProtection="1"/>
    <xf numFmtId="183" fontId="6" fillId="0" borderId="0" xfId="277" applyNumberFormat="1" applyFont="1" applyProtection="1"/>
    <xf numFmtId="3" fontId="7" fillId="0" borderId="0" xfId="277" applyNumberFormat="1" applyFont="1" applyAlignment="1" applyProtection="1">
      <alignment horizontal="right" vertical="center"/>
    </xf>
    <xf numFmtId="43" fontId="6" fillId="0" borderId="0" xfId="277" applyNumberFormat="1" applyFont="1" applyProtection="1"/>
    <xf numFmtId="173" fontId="6" fillId="0" borderId="6" xfId="86" applyNumberFormat="1" applyFont="1" applyFill="1" applyBorder="1" applyAlignment="1" applyProtection="1"/>
    <xf numFmtId="0" fontId="3" fillId="0" borderId="0" xfId="0" applyFont="1" applyAlignment="1">
      <alignment horizontal="center" wrapText="1"/>
    </xf>
    <xf numFmtId="3" fontId="109" fillId="31" borderId="0" xfId="277" applyNumberFormat="1" applyFont="1" applyFill="1" applyAlignment="1" applyProtection="1">
      <alignment horizontal="center"/>
    </xf>
    <xf numFmtId="3" fontId="11" fillId="0" borderId="0" xfId="277" applyNumberFormat="1" applyFont="1" applyAlignment="1" applyProtection="1">
      <alignment horizontal="center"/>
    </xf>
    <xf numFmtId="0" fontId="6" fillId="0" borderId="0" xfId="0" applyFont="1" applyAlignment="1">
      <alignment wrapText="1"/>
    </xf>
    <xf numFmtId="0" fontId="13" fillId="0" borderId="0" xfId="0" applyFont="1" applyAlignment="1">
      <alignment wrapText="1"/>
    </xf>
    <xf numFmtId="0" fontId="6" fillId="32" borderId="0" xfId="277" applyNumberFormat="1" applyFont="1" applyFill="1" applyAlignment="1" applyProtection="1">
      <alignment horizontal="left" vertical="top" wrapText="1"/>
    </xf>
    <xf numFmtId="172" fontId="78" fillId="0" borderId="0" xfId="277" applyFont="1" applyAlignment="1" applyProtection="1">
      <alignment horizontal="left" wrapText="1"/>
    </xf>
    <xf numFmtId="49" fontId="6" fillId="0" borderId="0" xfId="277" applyNumberFormat="1" applyFont="1" applyAlignment="1" applyProtection="1">
      <alignment horizontal="center"/>
    </xf>
    <xf numFmtId="0" fontId="33" fillId="0" borderId="0" xfId="0" applyFont="1" applyAlignment="1">
      <alignment horizontal="center"/>
    </xf>
    <xf numFmtId="0" fontId="11" fillId="0" borderId="0" xfId="277"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77" applyFont="1" applyBorder="1" applyAlignment="1" applyProtection="1">
      <alignment horizontal="center"/>
    </xf>
    <xf numFmtId="0" fontId="6" fillId="0" borderId="0" xfId="0" applyFont="1" applyAlignment="1">
      <alignment horizontal="left" vertical="top" wrapText="1"/>
    </xf>
    <xf numFmtId="172" fontId="6" fillId="0" borderId="0" xfId="277" applyFont="1" applyAlignment="1" applyProtection="1">
      <alignment horizontal="left" wrapText="1"/>
    </xf>
    <xf numFmtId="0" fontId="6" fillId="0" borderId="0" xfId="277" applyNumberFormat="1" applyFont="1" applyAlignment="1" applyProtection="1">
      <alignment vertical="top" wrapText="1"/>
    </xf>
    <xf numFmtId="0" fontId="13" fillId="0" borderId="0" xfId="0" applyFont="1"/>
    <xf numFmtId="0" fontId="27" fillId="0" borderId="0" xfId="277" applyNumberFormat="1" applyFont="1" applyAlignment="1" applyProtection="1">
      <alignment horizontal="left" wrapText="1"/>
    </xf>
    <xf numFmtId="172" fontId="6" fillId="0" borderId="0" xfId="277" applyFont="1" applyAlignment="1" applyProtection="1">
      <alignment horizontal="justify" wrapText="1"/>
    </xf>
    <xf numFmtId="0" fontId="13" fillId="0" borderId="0" xfId="0" applyFont="1" applyAlignment="1">
      <alignment horizontal="justify" wrapText="1"/>
    </xf>
    <xf numFmtId="172" fontId="27" fillId="0" borderId="0" xfId="277" applyFont="1" applyAlignment="1" applyProtection="1">
      <alignment vertical="top" wrapText="1"/>
    </xf>
    <xf numFmtId="0" fontId="27" fillId="0" borderId="0" xfId="0" applyFont="1" applyAlignment="1">
      <alignment vertical="top" wrapText="1"/>
    </xf>
    <xf numFmtId="172" fontId="27" fillId="0" borderId="0" xfId="277" applyFont="1" applyAlignment="1" applyProtection="1">
      <alignment wrapText="1"/>
    </xf>
    <xf numFmtId="172" fontId="6" fillId="0" borderId="0" xfId="277" applyFont="1" applyAlignment="1" applyProtection="1">
      <alignment vertical="top" wrapText="1"/>
    </xf>
    <xf numFmtId="172" fontId="108" fillId="0" borderId="0" xfId="277" applyFont="1" applyAlignment="1" applyProtection="1">
      <alignment wrapText="1"/>
    </xf>
    <xf numFmtId="0" fontId="33" fillId="0" borderId="0" xfId="0" applyFont="1" applyAlignment="1">
      <alignment wrapText="1"/>
    </xf>
    <xf numFmtId="0" fontId="6" fillId="0" borderId="0" xfId="277" applyNumberFormat="1" applyFont="1" applyAlignment="1" applyProtection="1">
      <alignment wrapText="1"/>
    </xf>
    <xf numFmtId="0" fontId="13" fillId="0" borderId="0" xfId="281" applyAlignment="1">
      <alignment horizontal="left" wrapText="1"/>
    </xf>
    <xf numFmtId="0" fontId="6" fillId="0" borderId="0" xfId="0" applyFont="1" applyAlignment="1">
      <alignment horizontal="center"/>
    </xf>
    <xf numFmtId="0" fontId="6" fillId="0" borderId="0" xfId="220" applyFont="1" applyAlignment="1">
      <alignment horizontal="center"/>
    </xf>
    <xf numFmtId="3" fontId="6" fillId="0" borderId="0" xfId="220" applyNumberFormat="1" applyFont="1" applyAlignment="1">
      <alignment horizontal="center"/>
    </xf>
    <xf numFmtId="0" fontId="10" fillId="0" borderId="47" xfId="281" applyFont="1" applyBorder="1" applyAlignment="1">
      <alignment horizontal="center" wrapText="1"/>
    </xf>
    <xf numFmtId="0" fontId="10" fillId="0" borderId="13" xfId="281" applyFont="1" applyBorder="1" applyAlignment="1">
      <alignment horizontal="center" wrapText="1"/>
    </xf>
    <xf numFmtId="0" fontId="10" fillId="0" borderId="48" xfId="281" applyFont="1" applyBorder="1" applyAlignment="1">
      <alignment horizontal="center" wrapText="1"/>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38" fontId="64" fillId="0" borderId="0" xfId="0" applyNumberFormat="1" applyFont="1" applyAlignment="1">
      <alignment horizontal="left" wrapText="1"/>
    </xf>
    <xf numFmtId="0" fontId="41" fillId="0" borderId="0" xfId="270" applyFont="1" applyAlignment="1">
      <alignment horizontal="center" wrapText="1"/>
    </xf>
    <xf numFmtId="0" fontId="64" fillId="0" borderId="11" xfId="0" applyFont="1" applyBorder="1" applyAlignment="1">
      <alignment horizontal="center" wrapText="1"/>
    </xf>
    <xf numFmtId="3" fontId="6" fillId="0" borderId="0" xfId="0" applyNumberFormat="1" applyFont="1" applyAlignment="1">
      <alignment horizontal="center"/>
    </xf>
    <xf numFmtId="0" fontId="41" fillId="0" borderId="0" xfId="220" quotePrefix="1" applyFont="1" applyAlignment="1">
      <alignment horizontal="center" wrapText="1"/>
    </xf>
    <xf numFmtId="0" fontId="25" fillId="0" borderId="11" xfId="223" applyFont="1" applyBorder="1" applyAlignment="1">
      <alignment horizontal="center"/>
    </xf>
    <xf numFmtId="0" fontId="25" fillId="0" borderId="11" xfId="0" applyFont="1" applyBorder="1" applyAlignment="1">
      <alignment horizontal="center"/>
    </xf>
    <xf numFmtId="0" fontId="25" fillId="0" borderId="11" xfId="223" applyFont="1" applyBorder="1" applyAlignment="1">
      <alignment horizontal="center" wrapText="1"/>
    </xf>
    <xf numFmtId="0" fontId="26" fillId="0" borderId="0" xfId="223" applyFont="1" applyAlignment="1">
      <alignment horizontal="center" wrapText="1"/>
    </xf>
    <xf numFmtId="41" fontId="25" fillId="30" borderId="33" xfId="271" applyNumberFormat="1" applyFont="1" applyFill="1" applyBorder="1" applyAlignment="1" applyProtection="1">
      <alignment horizontal="left" vertical="center" wrapText="1"/>
      <protection locked="0"/>
    </xf>
    <xf numFmtId="0" fontId="25" fillId="0" borderId="0" xfId="223" applyFont="1" applyAlignment="1">
      <alignment horizontal="center" wrapText="1"/>
    </xf>
    <xf numFmtId="0" fontId="25" fillId="0" borderId="0" xfId="223" applyFont="1" applyAlignment="1">
      <alignment horizontal="left" vertical="top" wrapText="1"/>
    </xf>
    <xf numFmtId="2" fontId="3" fillId="0" borderId="0" xfId="360" applyNumberFormat="1" applyAlignment="1">
      <alignment horizontal="left"/>
    </xf>
    <xf numFmtId="41" fontId="10" fillId="0" borderId="0" xfId="364" applyNumberFormat="1" applyFont="1" applyAlignment="1" applyProtection="1">
      <alignment horizontal="center"/>
      <protection locked="0"/>
    </xf>
    <xf numFmtId="0" fontId="3" fillId="0" borderId="0" xfId="360" applyAlignment="1">
      <alignment vertical="center" wrapText="1"/>
    </xf>
    <xf numFmtId="0" fontId="3" fillId="0" borderId="0" xfId="360" applyAlignment="1">
      <alignment horizontal="left" vertical="top" wrapText="1"/>
    </xf>
    <xf numFmtId="0" fontId="3" fillId="0" borderId="0" xfId="360" applyAlignment="1">
      <alignment horizontal="left" wrapText="1"/>
    </xf>
    <xf numFmtId="0" fontId="13" fillId="0" borderId="0" xfId="220" applyAlignment="1">
      <alignment horizontal="left" wrapText="1"/>
    </xf>
    <xf numFmtId="0" fontId="82" fillId="0" borderId="0" xfId="270" applyFont="1" applyAlignment="1">
      <alignment horizontal="center"/>
    </xf>
    <xf numFmtId="0" fontId="82" fillId="0" borderId="0" xfId="220" applyFont="1" applyAlignment="1">
      <alignment horizontal="center"/>
    </xf>
    <xf numFmtId="0" fontId="18" fillId="0" borderId="0" xfId="270" applyFont="1" applyAlignment="1">
      <alignment horizontal="center" wrapText="1"/>
    </xf>
    <xf numFmtId="0" fontId="14" fillId="0" borderId="0" xfId="0" applyFont="1" applyAlignment="1">
      <alignment horizontal="center" wrapText="1"/>
    </xf>
    <xf numFmtId="0" fontId="18" fillId="0" borderId="0" xfId="220" quotePrefix="1" applyFont="1" applyAlignment="1">
      <alignment horizontal="center" wrapText="1"/>
    </xf>
    <xf numFmtId="0" fontId="82" fillId="0" borderId="0" xfId="0" applyFont="1" applyAlignment="1">
      <alignment horizontal="center"/>
    </xf>
    <xf numFmtId="172" fontId="110" fillId="0" borderId="0" xfId="277" applyFont="1" applyAlignment="1" applyProtection="1">
      <alignment wrapText="1"/>
    </xf>
    <xf numFmtId="0" fontId="121" fillId="0" borderId="0" xfId="0" applyFont="1" applyAlignment="1">
      <alignment wrapText="1"/>
    </xf>
    <xf numFmtId="172" fontId="13" fillId="0" borderId="0" xfId="277" applyFont="1" applyAlignment="1" applyProtection="1">
      <alignment horizontal="left" vertical="top" wrapText="1"/>
    </xf>
    <xf numFmtId="0" fontId="95" fillId="0" borderId="0" xfId="282" applyFont="1" applyAlignment="1">
      <alignment wrapText="1"/>
    </xf>
    <xf numFmtId="3" fontId="5" fillId="0" borderId="0" xfId="0" applyNumberFormat="1" applyFont="1" applyAlignment="1">
      <alignment horizontal="center"/>
    </xf>
    <xf numFmtId="0" fontId="11" fillId="0" borderId="0" xfId="282" applyFont="1" applyAlignment="1">
      <alignment horizontal="center"/>
    </xf>
    <xf numFmtId="0" fontId="75" fillId="0" borderId="11" xfId="278" applyFont="1" applyBorder="1" applyAlignment="1">
      <alignment horizontal="center"/>
    </xf>
    <xf numFmtId="0" fontId="72" fillId="0" borderId="0" xfId="278" applyFont="1" applyAlignment="1">
      <alignment horizontal="left" wrapText="1"/>
    </xf>
    <xf numFmtId="0" fontId="0" fillId="0" borderId="0" xfId="0"/>
    <xf numFmtId="0" fontId="72" fillId="0" borderId="0" xfId="278" applyFont="1" applyAlignment="1">
      <alignment wrapText="1"/>
    </xf>
    <xf numFmtId="49" fontId="6" fillId="0" borderId="0" xfId="86" applyNumberFormat="1" applyFont="1" applyAlignment="1">
      <alignment horizontal="center"/>
    </xf>
    <xf numFmtId="0" fontId="5" fillId="0" borderId="0" xfId="220" applyFont="1" applyAlignment="1">
      <alignment horizontal="center"/>
    </xf>
    <xf numFmtId="0" fontId="5" fillId="0" borderId="0" xfId="0" applyFont="1" applyAlignment="1">
      <alignment horizontal="center"/>
    </xf>
    <xf numFmtId="0" fontId="0" fillId="0" borderId="0" xfId="0" applyAlignment="1">
      <alignment horizontal="left" wrapText="1"/>
    </xf>
    <xf numFmtId="173" fontId="96" fillId="0" borderId="0" xfId="86" applyNumberFormat="1" applyFont="1" applyBorder="1" applyAlignment="1" applyProtection="1">
      <alignment horizontal="center"/>
    </xf>
    <xf numFmtId="0" fontId="5"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3" fillId="0" borderId="23" xfId="277" applyFont="1" applyBorder="1" applyAlignment="1" applyProtection="1">
      <alignment wrapText="1"/>
    </xf>
    <xf numFmtId="0" fontId="3" fillId="0" borderId="17" xfId="0" applyFont="1" applyBorder="1" applyAlignment="1">
      <alignment wrapText="1"/>
    </xf>
    <xf numFmtId="0" fontId="3" fillId="0" borderId="24"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3" fillId="0" borderId="20" xfId="0" applyFont="1" applyBorder="1" applyAlignment="1">
      <alignment wrapText="1"/>
    </xf>
    <xf numFmtId="0" fontId="157" fillId="30" borderId="0" xfId="0" applyFont="1" applyFill="1" applyAlignment="1" applyProtection="1">
      <alignment horizontal="left" vertical="top" wrapText="1"/>
      <protection locked="0"/>
    </xf>
    <xf numFmtId="0" fontId="13" fillId="32" borderId="0" xfId="0" applyFont="1" applyFill="1" applyAlignment="1">
      <alignment wrapText="1"/>
    </xf>
    <xf numFmtId="0" fontId="0" fillId="32" borderId="0" xfId="0" applyFill="1" applyAlignment="1">
      <alignment wrapText="1"/>
    </xf>
    <xf numFmtId="0" fontId="6" fillId="0" borderId="0" xfId="174" applyFont="1" applyAlignment="1">
      <alignment horizontal="center"/>
    </xf>
    <xf numFmtId="0" fontId="10" fillId="0" borderId="47" xfId="174" applyFont="1" applyBorder="1" applyAlignment="1">
      <alignment horizontal="center"/>
    </xf>
    <xf numFmtId="0" fontId="10" fillId="0" borderId="13" xfId="174" applyFont="1" applyBorder="1" applyAlignment="1">
      <alignment horizontal="center"/>
    </xf>
    <xf numFmtId="0" fontId="10" fillId="0" borderId="48" xfId="174" applyFont="1" applyBorder="1" applyAlignment="1">
      <alignment horizontal="center"/>
    </xf>
    <xf numFmtId="0" fontId="13" fillId="0" borderId="0" xfId="272" applyAlignment="1">
      <alignment horizontal="left" wrapText="1"/>
    </xf>
    <xf numFmtId="0" fontId="13" fillId="0" borderId="0" xfId="194" applyAlignment="1">
      <alignment wrapText="1"/>
    </xf>
    <xf numFmtId="0" fontId="113" fillId="0" borderId="0" xfId="272" applyFont="1" applyAlignment="1">
      <alignment horizontal="left" wrapText="1"/>
    </xf>
    <xf numFmtId="0" fontId="64" fillId="0" borderId="0" xfId="174" applyFont="1" applyAlignment="1">
      <alignment horizontal="left" vertical="top" wrapText="1"/>
    </xf>
    <xf numFmtId="41" fontId="10" fillId="0" borderId="0" xfId="272" applyNumberFormat="1" applyFont="1" applyAlignment="1">
      <alignment horizontal="center" wrapText="1"/>
    </xf>
    <xf numFmtId="0" fontId="10" fillId="0" borderId="0" xfId="0" applyFont="1" applyAlignment="1">
      <alignment horizontal="center" wrapText="1"/>
    </xf>
    <xf numFmtId="0" fontId="10" fillId="0" borderId="0" xfId="0" applyFont="1" applyAlignment="1">
      <alignment horizontal="left" wrapText="1"/>
    </xf>
    <xf numFmtId="0" fontId="95" fillId="0" borderId="0" xfId="0" applyFont="1" applyAlignment="1">
      <alignment horizontal="center" wrapText="1"/>
    </xf>
    <xf numFmtId="0" fontId="21" fillId="30" borderId="0" xfId="0" applyFont="1" applyFill="1" applyAlignment="1" applyProtection="1">
      <alignment wrapText="1"/>
      <protection locked="0"/>
    </xf>
    <xf numFmtId="0" fontId="141" fillId="0" borderId="0" xfId="0" applyFont="1" applyAlignment="1">
      <alignment horizontal="left" vertical="center" wrapText="1"/>
    </xf>
    <xf numFmtId="0" fontId="141" fillId="0" borderId="0" xfId="220" applyFont="1" applyAlignment="1">
      <alignment horizontal="center"/>
    </xf>
    <xf numFmtId="3" fontId="141" fillId="0" borderId="0" xfId="220" applyNumberFormat="1" applyFont="1" applyAlignment="1">
      <alignment horizontal="center"/>
    </xf>
    <xf numFmtId="0" fontId="7" fillId="0" borderId="0" xfId="280" applyFont="1" applyAlignment="1">
      <alignment horizontal="left" vertical="top" wrapText="1"/>
    </xf>
    <xf numFmtId="0" fontId="6" fillId="0" borderId="0" xfId="280" applyFont="1" applyAlignment="1">
      <alignment horizontal="left" vertical="top" wrapText="1"/>
    </xf>
    <xf numFmtId="0" fontId="103" fillId="0" borderId="0" xfId="280" applyFont="1" applyAlignment="1">
      <alignment horizontal="center"/>
    </xf>
    <xf numFmtId="3" fontId="103" fillId="0" borderId="0" xfId="280" applyNumberFormat="1" applyFont="1" applyAlignment="1">
      <alignment horizontal="center"/>
    </xf>
    <xf numFmtId="0" fontId="78" fillId="0" borderId="11" xfId="280" applyFont="1" applyBorder="1" applyAlignment="1">
      <alignment wrapText="1"/>
    </xf>
    <xf numFmtId="0" fontId="0" fillId="0" borderId="11" xfId="0" applyBorder="1" applyAlignment="1">
      <alignment wrapText="1"/>
    </xf>
    <xf numFmtId="0" fontId="10" fillId="0" borderId="0" xfId="284" applyFont="1" applyAlignment="1">
      <alignment horizontal="center"/>
    </xf>
    <xf numFmtId="0" fontId="13" fillId="0" borderId="0" xfId="270" applyFont="1" applyAlignment="1">
      <alignment horizontal="left" vertical="top" wrapText="1"/>
    </xf>
    <xf numFmtId="0" fontId="7" fillId="0" borderId="0" xfId="0" applyFont="1" applyAlignment="1">
      <alignment horizontal="center"/>
    </xf>
    <xf numFmtId="0" fontId="78" fillId="0" borderId="0" xfId="0" applyFont="1" applyAlignment="1">
      <alignment horizontal="center"/>
    </xf>
    <xf numFmtId="0" fontId="123" fillId="0" borderId="0" xfId="0" applyFont="1" applyAlignment="1">
      <alignment horizontal="center" wrapText="1"/>
    </xf>
  </cellXfs>
  <cellStyles count="3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72" xr:uid="{0671B905-3EF6-477E-A875-9C69B22A4ACF}"/>
    <cellStyle name="Comma 2 3" xfId="361" xr:uid="{80623289-A3F9-4157-854C-7169CE8B72D2}"/>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5 3" xfId="100" xr:uid="{00000000-0005-0000-0000-000063000000}"/>
    <cellStyle name="Comma 3 6" xfId="101" xr:uid="{00000000-0005-0000-0000-000064000000}"/>
    <cellStyle name="Comma 3 6 2" xfId="102" xr:uid="{00000000-0005-0000-0000-000065000000}"/>
    <cellStyle name="Comma 3 7" xfId="103" xr:uid="{00000000-0005-0000-0000-000066000000}"/>
    <cellStyle name="Comma 3 8" xfId="104" xr:uid="{00000000-0005-0000-0000-000067000000}"/>
    <cellStyle name="Comma 4 2" xfId="105" xr:uid="{00000000-0005-0000-0000-000068000000}"/>
    <cellStyle name="Comma 4 2 2" xfId="106" xr:uid="{00000000-0005-0000-0000-000069000000}"/>
    <cellStyle name="Comma 4 2 3" xfId="107" xr:uid="{00000000-0005-0000-0000-00006A000000}"/>
    <cellStyle name="Comma 4 3" xfId="108" xr:uid="{00000000-0005-0000-0000-00006B000000}"/>
    <cellStyle name="Comma 5 2" xfId="109" xr:uid="{00000000-0005-0000-0000-00006C000000}"/>
    <cellStyle name="Comma 6" xfId="110" xr:uid="{00000000-0005-0000-0000-00006D000000}"/>
    <cellStyle name="Comma 6 2" xfId="111" xr:uid="{00000000-0005-0000-0000-00006E000000}"/>
    <cellStyle name="Comma 6 2 2" xfId="112" xr:uid="{00000000-0005-0000-0000-00006F000000}"/>
    <cellStyle name="Comma 6 3" xfId="113" xr:uid="{00000000-0005-0000-0000-000070000000}"/>
    <cellStyle name="Comma 7" xfId="114" xr:uid="{00000000-0005-0000-0000-000071000000}"/>
    <cellStyle name="Comma 7 2" xfId="115" xr:uid="{00000000-0005-0000-0000-000072000000}"/>
    <cellStyle name="Comma 8" xfId="116" xr:uid="{00000000-0005-0000-0000-000073000000}"/>
    <cellStyle name="Comma 9" xfId="117" xr:uid="{00000000-0005-0000-0000-000074000000}"/>
    <cellStyle name="Comma_spp calc - revsd rev crd" xfId="118" xr:uid="{00000000-0005-0000-0000-000075000000}"/>
    <cellStyle name="Comma_spp calc - revsd rev crd 2" xfId="119" xr:uid="{00000000-0005-0000-0000-000076000000}"/>
    <cellStyle name="Comma0" xfId="120" xr:uid="{00000000-0005-0000-0000-000077000000}"/>
    <cellStyle name="Currency" xfId="121" builtinId="4"/>
    <cellStyle name="Currency 2" xfId="122" xr:uid="{00000000-0005-0000-0000-000079000000}"/>
    <cellStyle name="Currency 2 2" xfId="123" xr:uid="{00000000-0005-0000-0000-00007A000000}"/>
    <cellStyle name="Currency 3" xfId="124" xr:uid="{00000000-0005-0000-0000-00007B000000}"/>
    <cellStyle name="Currency 3 2" xfId="125" xr:uid="{00000000-0005-0000-0000-00007C000000}"/>
    <cellStyle name="Currency 3 3" xfId="126" xr:uid="{00000000-0005-0000-0000-00007D000000}"/>
    <cellStyle name="Currency 3 3 2" xfId="127" xr:uid="{00000000-0005-0000-0000-00007E000000}"/>
    <cellStyle name="Currency 3 3 3" xfId="128" xr:uid="{00000000-0005-0000-0000-00007F000000}"/>
    <cellStyle name="Currency 3 4" xfId="129" xr:uid="{00000000-0005-0000-0000-000080000000}"/>
    <cellStyle name="Currency 3 4 2" xfId="130" xr:uid="{00000000-0005-0000-0000-000081000000}"/>
    <cellStyle name="Currency 3 4 3" xfId="131" xr:uid="{00000000-0005-0000-0000-000082000000}"/>
    <cellStyle name="Currency 3 5" xfId="132" xr:uid="{00000000-0005-0000-0000-000083000000}"/>
    <cellStyle name="Currency 3 5 2" xfId="133" xr:uid="{00000000-0005-0000-0000-000084000000}"/>
    <cellStyle name="Currency 3 5 3" xfId="134" xr:uid="{00000000-0005-0000-0000-000085000000}"/>
    <cellStyle name="Currency 3 6" xfId="135" xr:uid="{00000000-0005-0000-0000-000086000000}"/>
    <cellStyle name="Currency 3 6 2" xfId="136" xr:uid="{00000000-0005-0000-0000-000087000000}"/>
    <cellStyle name="Currency 3 7" xfId="137" xr:uid="{00000000-0005-0000-0000-000088000000}"/>
    <cellStyle name="Currency 4 2" xfId="138" xr:uid="{00000000-0005-0000-0000-000089000000}"/>
    <cellStyle name="Currency 4 2 2" xfId="139" xr:uid="{00000000-0005-0000-0000-00008A000000}"/>
    <cellStyle name="Currency 4 2 3" xfId="140" xr:uid="{00000000-0005-0000-0000-00008B000000}"/>
    <cellStyle name="Currency 4 3" xfId="141" xr:uid="{00000000-0005-0000-0000-00008C000000}"/>
    <cellStyle name="Currency 5 2" xfId="142" xr:uid="{00000000-0005-0000-0000-00008D000000}"/>
    <cellStyle name="Currency 6" xfId="143" xr:uid="{00000000-0005-0000-0000-00008E000000}"/>
    <cellStyle name="Currency 7" xfId="144" xr:uid="{00000000-0005-0000-0000-00008F000000}"/>
    <cellStyle name="Currency0" xfId="145" xr:uid="{00000000-0005-0000-0000-000090000000}"/>
    <cellStyle name="Date" xfId="146" xr:uid="{00000000-0005-0000-0000-000091000000}"/>
    <cellStyle name="Explanatory Text" xfId="147" builtinId="53" customBuiltin="1"/>
    <cellStyle name="Explanatory Text 2" xfId="148" xr:uid="{00000000-0005-0000-0000-000093000000}"/>
    <cellStyle name="Fixed" xfId="149" xr:uid="{00000000-0005-0000-0000-000094000000}"/>
    <cellStyle name="Good" xfId="150" builtinId="26" customBuiltin="1"/>
    <cellStyle name="Good 2" xfId="151" xr:uid="{00000000-0005-0000-0000-000096000000}"/>
    <cellStyle name="Heading 1" xfId="152" builtinId="16" customBuiltin="1"/>
    <cellStyle name="Heading 1 2" xfId="153" xr:uid="{00000000-0005-0000-0000-000098000000}"/>
    <cellStyle name="Heading 2" xfId="154" builtinId="17" customBuiltin="1"/>
    <cellStyle name="Heading 2 2" xfId="155" xr:uid="{00000000-0005-0000-0000-00009A000000}"/>
    <cellStyle name="Heading 3" xfId="156" builtinId="18" customBuiltin="1"/>
    <cellStyle name="Heading 3 2" xfId="157" xr:uid="{00000000-0005-0000-0000-00009C000000}"/>
    <cellStyle name="Heading 4" xfId="158" builtinId="19" customBuiltin="1"/>
    <cellStyle name="Heading 4 2" xfId="159" xr:uid="{00000000-0005-0000-0000-00009E000000}"/>
    <cellStyle name="Heading1" xfId="160" xr:uid="{00000000-0005-0000-0000-00009F000000}"/>
    <cellStyle name="Heading2" xfId="161" xr:uid="{00000000-0005-0000-0000-0000A0000000}"/>
    <cellStyle name="Input" xfId="162" builtinId="20" customBuiltin="1"/>
    <cellStyle name="Input 2" xfId="163" xr:uid="{00000000-0005-0000-0000-0000A2000000}"/>
    <cellStyle name="Linked Cell" xfId="164" builtinId="24" customBuiltin="1"/>
    <cellStyle name="Linked Cell 2" xfId="165" xr:uid="{00000000-0005-0000-0000-0000A4000000}"/>
    <cellStyle name="Neutral" xfId="166" builtinId="28" customBuiltin="1"/>
    <cellStyle name="Neutral 2" xfId="167" xr:uid="{00000000-0005-0000-0000-0000A6000000}"/>
    <cellStyle name="Normal" xfId="0" builtinId="0"/>
    <cellStyle name="Normal 10" xfId="168" xr:uid="{00000000-0005-0000-0000-0000A8000000}"/>
    <cellStyle name="Normal 10 2" xfId="169" xr:uid="{00000000-0005-0000-0000-0000A9000000}"/>
    <cellStyle name="Normal 10 3" xfId="170" xr:uid="{00000000-0005-0000-0000-0000AA000000}"/>
    <cellStyle name="Normal 10 4" xfId="171" xr:uid="{00000000-0005-0000-0000-0000AB000000}"/>
    <cellStyle name="Normal 10 5" xfId="172" xr:uid="{00000000-0005-0000-0000-0000AC000000}"/>
    <cellStyle name="Normal 11" xfId="173" xr:uid="{00000000-0005-0000-0000-0000AD000000}"/>
    <cellStyle name="Normal 11 2" xfId="174" xr:uid="{00000000-0005-0000-0000-0000AE000000}"/>
    <cellStyle name="Normal 11 3" xfId="175" xr:uid="{00000000-0005-0000-0000-0000AF000000}"/>
    <cellStyle name="Normal 11 4" xfId="176" xr:uid="{00000000-0005-0000-0000-0000B0000000}"/>
    <cellStyle name="Normal 11 5" xfId="177" xr:uid="{00000000-0005-0000-0000-0000B1000000}"/>
    <cellStyle name="Normal 12" xfId="178" xr:uid="{00000000-0005-0000-0000-0000B2000000}"/>
    <cellStyle name="Normal 12 2" xfId="179" xr:uid="{00000000-0005-0000-0000-0000B3000000}"/>
    <cellStyle name="Normal 12 4" xfId="180" xr:uid="{00000000-0005-0000-0000-0000B4000000}"/>
    <cellStyle name="Normal 13" xfId="181" xr:uid="{00000000-0005-0000-0000-0000B5000000}"/>
    <cellStyle name="Normal 13 2" xfId="182" xr:uid="{00000000-0005-0000-0000-0000B6000000}"/>
    <cellStyle name="Normal 14" xfId="183" xr:uid="{00000000-0005-0000-0000-0000B7000000}"/>
    <cellStyle name="Normal 14 2" xfId="184" xr:uid="{00000000-0005-0000-0000-0000B8000000}"/>
    <cellStyle name="Normal 15" xfId="185" xr:uid="{00000000-0005-0000-0000-0000B9000000}"/>
    <cellStyle name="Normal 16" xfId="186" xr:uid="{00000000-0005-0000-0000-0000BA000000}"/>
    <cellStyle name="Normal 16 2" xfId="187" xr:uid="{00000000-0005-0000-0000-0000BB000000}"/>
    <cellStyle name="Normal 17" xfId="188" xr:uid="{00000000-0005-0000-0000-0000BC000000}"/>
    <cellStyle name="Normal 17 2" xfId="189" xr:uid="{00000000-0005-0000-0000-0000BD000000}"/>
    <cellStyle name="Normal 18" xfId="190" xr:uid="{00000000-0005-0000-0000-0000BE000000}"/>
    <cellStyle name="Normal 18 2" xfId="191" xr:uid="{00000000-0005-0000-0000-0000BF000000}"/>
    <cellStyle name="Normal 19" xfId="192" xr:uid="{00000000-0005-0000-0000-0000C0000000}"/>
    <cellStyle name="Normal 19 2"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2 3" xfId="197" xr:uid="{00000000-0005-0000-0000-0000C5000000}"/>
    <cellStyle name="Normal 2 2 4" xfId="198" xr:uid="{00000000-0005-0000-0000-0000C6000000}"/>
    <cellStyle name="Normal 2 3" xfId="199" xr:uid="{00000000-0005-0000-0000-0000C7000000}"/>
    <cellStyle name="Normal 2 4" xfId="360" xr:uid="{EEF14675-E1F2-4DE0-BB27-A51922E71E3A}"/>
    <cellStyle name="Normal 2 5" xfId="200" xr:uid="{00000000-0005-0000-0000-0000C8000000}"/>
    <cellStyle name="Normal 2 5 2" xfId="201" xr:uid="{00000000-0005-0000-0000-0000C9000000}"/>
    <cellStyle name="Normal 2 6" xfId="367" xr:uid="{B1C508F8-E282-4804-B8D7-08A457852F51}"/>
    <cellStyle name="Normal 20" xfId="202" xr:uid="{00000000-0005-0000-0000-0000CA000000}"/>
    <cellStyle name="Normal 20 2" xfId="203" xr:uid="{00000000-0005-0000-0000-0000CB000000}"/>
    <cellStyle name="Normal 21" xfId="204" xr:uid="{00000000-0005-0000-0000-0000CC000000}"/>
    <cellStyle name="Normal 21 2" xfId="205" xr:uid="{00000000-0005-0000-0000-0000CD000000}"/>
    <cellStyle name="Normal 22" xfId="206" xr:uid="{00000000-0005-0000-0000-0000CE000000}"/>
    <cellStyle name="Normal 22 2" xfId="207" xr:uid="{00000000-0005-0000-0000-0000CF000000}"/>
    <cellStyle name="Normal 23" xfId="208" xr:uid="{00000000-0005-0000-0000-0000D0000000}"/>
    <cellStyle name="Normal 23 2" xfId="209" xr:uid="{00000000-0005-0000-0000-0000D1000000}"/>
    <cellStyle name="Normal 24" xfId="210" xr:uid="{00000000-0005-0000-0000-0000D2000000}"/>
    <cellStyle name="Normal 24 2" xfId="211" xr:uid="{00000000-0005-0000-0000-0000D3000000}"/>
    <cellStyle name="Normal 25" xfId="212" xr:uid="{00000000-0005-0000-0000-0000D4000000}"/>
    <cellStyle name="Normal 25 2" xfId="213" xr:uid="{00000000-0005-0000-0000-0000D5000000}"/>
    <cellStyle name="Normal 26" xfId="214" xr:uid="{00000000-0005-0000-0000-0000D6000000}"/>
    <cellStyle name="Normal 26 2" xfId="215" xr:uid="{00000000-0005-0000-0000-0000D7000000}"/>
    <cellStyle name="Normal 27" xfId="216" xr:uid="{00000000-0005-0000-0000-0000D8000000}"/>
    <cellStyle name="Normal 28" xfId="217" xr:uid="{00000000-0005-0000-0000-0000D9000000}"/>
    <cellStyle name="Normal 29" xfId="218" xr:uid="{00000000-0005-0000-0000-0000DA000000}"/>
    <cellStyle name="Normal 3" xfId="219" xr:uid="{00000000-0005-0000-0000-0000DB000000}"/>
    <cellStyle name="Normal 3 2" xfId="220" xr:uid="{00000000-0005-0000-0000-0000DC000000}"/>
    <cellStyle name="Normal 3 2 2" xfId="371" xr:uid="{A2877934-CA09-42BB-B2A0-0B569916B7F7}"/>
    <cellStyle name="Normal 3 2 4" xfId="369" xr:uid="{E5AA6BD8-E711-48EB-84A1-C69F04B5D323}"/>
    <cellStyle name="Normal 3 3" xfId="221" xr:uid="{00000000-0005-0000-0000-0000DD000000}"/>
    <cellStyle name="Normal 3_Attach O, GG, Support -New Method 2-14-11" xfId="222" xr:uid="{00000000-0005-0000-0000-0000DE000000}"/>
    <cellStyle name="Normal 30" xfId="368" xr:uid="{C392689D-BC4E-4B4A-A34C-D9630BC1D67B}"/>
    <cellStyle name="Normal 31 2" xfId="223" xr:uid="{00000000-0005-0000-0000-0000DF000000}"/>
    <cellStyle name="Normal 31 2 2" xfId="362" xr:uid="{7015615C-24C9-48FB-ABC2-707BF26FF0C7}"/>
    <cellStyle name="Normal 4" xfId="224" xr:uid="{00000000-0005-0000-0000-0000E0000000}"/>
    <cellStyle name="Normal 4 2" xfId="225" xr:uid="{00000000-0005-0000-0000-0000E1000000}"/>
    <cellStyle name="Normal 4 3" xfId="226" xr:uid="{00000000-0005-0000-0000-0000E2000000}"/>
    <cellStyle name="Normal 4 3 2" xfId="227" xr:uid="{00000000-0005-0000-0000-0000E3000000}"/>
    <cellStyle name="Normal 4 3 3" xfId="228" xr:uid="{00000000-0005-0000-0000-0000E4000000}"/>
    <cellStyle name="Normal 4 4" xfId="229" xr:uid="{00000000-0005-0000-0000-0000E5000000}"/>
    <cellStyle name="Normal 4 4 2" xfId="230" xr:uid="{00000000-0005-0000-0000-0000E6000000}"/>
    <cellStyle name="Normal 4 4 3" xfId="231" xr:uid="{00000000-0005-0000-0000-0000E7000000}"/>
    <cellStyle name="Normal 4 5" xfId="232" xr:uid="{00000000-0005-0000-0000-0000E8000000}"/>
    <cellStyle name="Normal 4 5 2" xfId="233" xr:uid="{00000000-0005-0000-0000-0000E9000000}"/>
    <cellStyle name="Normal 4 5 3" xfId="234" xr:uid="{00000000-0005-0000-0000-0000EA000000}"/>
    <cellStyle name="Normal 4 6" xfId="235" xr:uid="{00000000-0005-0000-0000-0000EB000000}"/>
    <cellStyle name="Normal 4 6 2" xfId="236" xr:uid="{00000000-0005-0000-0000-0000EC000000}"/>
    <cellStyle name="Normal 4 7" xfId="237" xr:uid="{00000000-0005-0000-0000-0000ED000000}"/>
    <cellStyle name="Normal 4 8" xfId="238" xr:uid="{00000000-0005-0000-0000-0000EE000000}"/>
    <cellStyle name="Normal 4_PBOP Exhibit 1" xfId="239" xr:uid="{00000000-0005-0000-0000-0000EF000000}"/>
    <cellStyle name="Normal 5" xfId="363" xr:uid="{5FA291C7-9735-4279-A1C1-2AF65777D370}"/>
    <cellStyle name="Normal 5 2" xfId="240" xr:uid="{00000000-0005-0000-0000-0000F0000000}"/>
    <cellStyle name="Normal 5 2 2" xfId="241" xr:uid="{00000000-0005-0000-0000-0000F1000000}"/>
    <cellStyle name="Normal 5 2 3" xfId="242" xr:uid="{00000000-0005-0000-0000-0000F2000000}"/>
    <cellStyle name="Normal 5 3" xfId="243" xr:uid="{00000000-0005-0000-0000-0000F3000000}"/>
    <cellStyle name="Normal 5 4" xfId="244" xr:uid="{00000000-0005-0000-0000-0000F4000000}"/>
    <cellStyle name="Normal 5 4 2" xfId="245" xr:uid="{00000000-0005-0000-0000-0000F5000000}"/>
    <cellStyle name="Normal 5 4 3" xfId="246" xr:uid="{00000000-0005-0000-0000-0000F6000000}"/>
    <cellStyle name="Normal 6" xfId="366" xr:uid="{C450BDBF-A76A-4854-B458-788F21811170}"/>
    <cellStyle name="Normal 6 2" xfId="247" xr:uid="{00000000-0005-0000-0000-0000F7000000}"/>
    <cellStyle name="Normal 6 2 2" xfId="248" xr:uid="{00000000-0005-0000-0000-0000F8000000}"/>
    <cellStyle name="Normal 6 2 3" xfId="249" xr:uid="{00000000-0005-0000-0000-0000F9000000}"/>
    <cellStyle name="Normal 6 2 4" xfId="250" xr:uid="{00000000-0005-0000-0000-0000FA000000}"/>
    <cellStyle name="Normal 6 2 5" xfId="251" xr:uid="{00000000-0005-0000-0000-0000FB000000}"/>
    <cellStyle name="Normal 6 3" xfId="252" xr:uid="{00000000-0005-0000-0000-0000FC000000}"/>
    <cellStyle name="Normal 6 3 2" xfId="253" xr:uid="{00000000-0005-0000-0000-0000FD000000}"/>
    <cellStyle name="Normal 6 3 3" xfId="254" xr:uid="{00000000-0005-0000-0000-0000FE000000}"/>
    <cellStyle name="Normal 6 4" xfId="255" xr:uid="{00000000-0005-0000-0000-0000FF000000}"/>
    <cellStyle name="Normal 6 5" xfId="256" xr:uid="{00000000-0005-0000-0000-000000010000}"/>
    <cellStyle name="Normal 7" xfId="257" xr:uid="{00000000-0005-0000-0000-000001010000}"/>
    <cellStyle name="Normal 7 2" xfId="258" xr:uid="{00000000-0005-0000-0000-000002010000}"/>
    <cellStyle name="Normal 7 3" xfId="259" xr:uid="{00000000-0005-0000-0000-000003010000}"/>
    <cellStyle name="Normal 7 4" xfId="260" xr:uid="{00000000-0005-0000-0000-000004010000}"/>
    <cellStyle name="Normal 8" xfId="261" xr:uid="{00000000-0005-0000-0000-000005010000}"/>
    <cellStyle name="Normal 8 2" xfId="262" xr:uid="{00000000-0005-0000-0000-000006010000}"/>
    <cellStyle name="Normal 8 3" xfId="263" xr:uid="{00000000-0005-0000-0000-000007010000}"/>
    <cellStyle name="Normal 8 4" xfId="264" xr:uid="{00000000-0005-0000-0000-000008010000}"/>
    <cellStyle name="Normal 9" xfId="265" xr:uid="{00000000-0005-0000-0000-000009010000}"/>
    <cellStyle name="Normal 9 2" xfId="266" xr:uid="{00000000-0005-0000-0000-00000A010000}"/>
    <cellStyle name="Normal 9 3" xfId="267" xr:uid="{00000000-0005-0000-0000-00000B010000}"/>
    <cellStyle name="Normal 9 4" xfId="268" xr:uid="{00000000-0005-0000-0000-00000C010000}"/>
    <cellStyle name="Normal_21 Exh B" xfId="269" xr:uid="{00000000-0005-0000-0000-00000D010000}"/>
    <cellStyle name="Normal_ADITAnalysisID090805" xfId="270" xr:uid="{00000000-0005-0000-0000-00000E010000}"/>
    <cellStyle name="Normal_ADITAnalysisID090805 2" xfId="271" xr:uid="{00000000-0005-0000-0000-00000F010000}"/>
    <cellStyle name="Normal_ADITAnalysisID090805 2 2" xfId="272" xr:uid="{00000000-0005-0000-0000-000010010000}"/>
    <cellStyle name="Normal_ADITAnalysisID090805 2 3" xfId="364" xr:uid="{26A52E38-7A08-45A9-B23F-229BF1722095}"/>
    <cellStyle name="Normal_ADITAnalysisID090805 3" xfId="273" xr:uid="{00000000-0005-0000-0000-000011010000}"/>
    <cellStyle name="Normal_ATC Projected 2008 Monthly Plant Balances for Attachment O 2 (2)" xfId="274" xr:uid="{00000000-0005-0000-0000-000012010000}"/>
    <cellStyle name="Normal_AU Period 2 Rev 4-27-00" xfId="275" xr:uid="{00000000-0005-0000-0000-000013010000}"/>
    <cellStyle name="Normal_Copy of PATH Formula Rate 2010 Projection Filed Sept 1, 2009 R1" xfId="276" xr:uid="{00000000-0005-0000-0000-000014010000}"/>
    <cellStyle name="Normal_FN1 Ratebase Draft SPP template (6-11-04) v2" xfId="277" xr:uid="{00000000-0005-0000-0000-000015010000}"/>
    <cellStyle name="Normal_I&amp;M-AK-1" xfId="278" xr:uid="{00000000-0005-0000-0000-000016010000}"/>
    <cellStyle name="Normal_IM LTD Hedge Entries 2" xfId="279" xr:uid="{00000000-0005-0000-0000-000017010000}"/>
    <cellStyle name="Normal_Revised 1-21-10  Deprec Summary" xfId="280" xr:uid="{00000000-0005-0000-0000-000018010000}"/>
    <cellStyle name="Normal_Schedule O Info for Mike" xfId="281" xr:uid="{00000000-0005-0000-0000-000019010000}"/>
    <cellStyle name="Normal_Schedule O Info for Mike 2" xfId="370" xr:uid="{1EFA63C8-5E59-494D-AC3A-9111B53A7BAF}"/>
    <cellStyle name="Normal_spp calc - revsd rev crd" xfId="282" xr:uid="{00000000-0005-0000-0000-00001A010000}"/>
    <cellStyle name="Normal_spp calc - revsd rev crd 2" xfId="283" xr:uid="{00000000-0005-0000-0000-00001B010000}"/>
    <cellStyle name="Normal_Worksheet Q Draft dwb edits" xfId="284" xr:uid="{00000000-0005-0000-0000-00001C010000}"/>
    <cellStyle name="Note" xfId="285" builtinId="10" customBuiltin="1"/>
    <cellStyle name="Note 2" xfId="286" xr:uid="{00000000-0005-0000-0000-00001E010000}"/>
    <cellStyle name="Output" xfId="287" builtinId="21" customBuiltin="1"/>
    <cellStyle name="Output 2" xfId="288" xr:uid="{00000000-0005-0000-0000-000020010000}"/>
    <cellStyle name="Percent" xfId="289" builtinId="5"/>
    <cellStyle name="Percent 2" xfId="290" xr:uid="{00000000-0005-0000-0000-000022010000}"/>
    <cellStyle name="Percent 2 2" xfId="291" xr:uid="{00000000-0005-0000-0000-000023010000}"/>
    <cellStyle name="Percent 3" xfId="292" xr:uid="{00000000-0005-0000-0000-000024010000}"/>
    <cellStyle name="Percent 3 2" xfId="293" xr:uid="{00000000-0005-0000-0000-000025010000}"/>
    <cellStyle name="Percent 3 2 2" xfId="365" xr:uid="{163FA537-6FDB-4AF0-91FA-656A1E422884}"/>
    <cellStyle name="Percent 3 3" xfId="294" xr:uid="{00000000-0005-0000-0000-000026010000}"/>
    <cellStyle name="Percent 3 3 2" xfId="295" xr:uid="{00000000-0005-0000-0000-000027010000}"/>
    <cellStyle name="Percent 3 3 3" xfId="296" xr:uid="{00000000-0005-0000-0000-000028010000}"/>
    <cellStyle name="Percent 3 4" xfId="297" xr:uid="{00000000-0005-0000-0000-000029010000}"/>
    <cellStyle name="Percent 3 4 2" xfId="298" xr:uid="{00000000-0005-0000-0000-00002A010000}"/>
    <cellStyle name="Percent 3 4 3" xfId="299" xr:uid="{00000000-0005-0000-0000-00002B010000}"/>
    <cellStyle name="Percent 3 5" xfId="300" xr:uid="{00000000-0005-0000-0000-00002C010000}"/>
    <cellStyle name="Percent 3 5 2" xfId="301" xr:uid="{00000000-0005-0000-0000-00002D010000}"/>
    <cellStyle name="Percent 3 5 3" xfId="302" xr:uid="{00000000-0005-0000-0000-00002E010000}"/>
    <cellStyle name="Percent 3 6" xfId="303" xr:uid="{00000000-0005-0000-0000-00002F010000}"/>
    <cellStyle name="Percent 3 6 2" xfId="304" xr:uid="{00000000-0005-0000-0000-000030010000}"/>
    <cellStyle name="Percent 3 7" xfId="305" xr:uid="{00000000-0005-0000-0000-000031010000}"/>
    <cellStyle name="Percent 4 2" xfId="306" xr:uid="{00000000-0005-0000-0000-000032010000}"/>
    <cellStyle name="Percent 4 3" xfId="307" xr:uid="{00000000-0005-0000-0000-000033010000}"/>
    <cellStyle name="Percent 4 3 2" xfId="308" xr:uid="{00000000-0005-0000-0000-000034010000}"/>
    <cellStyle name="Percent 4 3 3" xfId="309" xr:uid="{00000000-0005-0000-0000-000035010000}"/>
    <cellStyle name="Percent 4 4" xfId="310" xr:uid="{00000000-0005-0000-0000-000036010000}"/>
    <cellStyle name="Percent 5 2" xfId="311" xr:uid="{00000000-0005-0000-0000-000037010000}"/>
    <cellStyle name="Percent 6" xfId="312" xr:uid="{00000000-0005-0000-0000-000038010000}"/>
    <cellStyle name="Percent 7" xfId="313" xr:uid="{00000000-0005-0000-0000-000039010000}"/>
    <cellStyle name="Percent 8" xfId="314" xr:uid="{00000000-0005-0000-0000-00003A010000}"/>
    <cellStyle name="PSChar" xfId="315" xr:uid="{00000000-0005-0000-0000-00003B010000}"/>
    <cellStyle name="PSDate" xfId="316" xr:uid="{00000000-0005-0000-0000-00003C010000}"/>
    <cellStyle name="PSDec" xfId="317" xr:uid="{00000000-0005-0000-0000-00003D010000}"/>
    <cellStyle name="PSdesc" xfId="318" xr:uid="{00000000-0005-0000-0000-00003E010000}"/>
    <cellStyle name="PSHeading" xfId="319" xr:uid="{00000000-0005-0000-0000-00003F010000}"/>
    <cellStyle name="PSInt" xfId="320" xr:uid="{00000000-0005-0000-0000-000040010000}"/>
    <cellStyle name="PSSpacer" xfId="321" xr:uid="{00000000-0005-0000-0000-000041010000}"/>
    <cellStyle name="PStest" xfId="322" xr:uid="{00000000-0005-0000-0000-000042010000}"/>
    <cellStyle name="R00A" xfId="323" xr:uid="{00000000-0005-0000-0000-000043010000}"/>
    <cellStyle name="R00B" xfId="324" xr:uid="{00000000-0005-0000-0000-000044010000}"/>
    <cellStyle name="R00L" xfId="325" xr:uid="{00000000-0005-0000-0000-000045010000}"/>
    <cellStyle name="R01A" xfId="326" xr:uid="{00000000-0005-0000-0000-000046010000}"/>
    <cellStyle name="R01B" xfId="327" xr:uid="{00000000-0005-0000-0000-000047010000}"/>
    <cellStyle name="R01H" xfId="328" xr:uid="{00000000-0005-0000-0000-000048010000}"/>
    <cellStyle name="R01L" xfId="329" xr:uid="{00000000-0005-0000-0000-000049010000}"/>
    <cellStyle name="R02A" xfId="330" xr:uid="{00000000-0005-0000-0000-00004A010000}"/>
    <cellStyle name="R02B" xfId="331" xr:uid="{00000000-0005-0000-0000-00004B010000}"/>
    <cellStyle name="R02H" xfId="332" xr:uid="{00000000-0005-0000-0000-00004C010000}"/>
    <cellStyle name="R02L" xfId="333" xr:uid="{00000000-0005-0000-0000-00004D010000}"/>
    <cellStyle name="R03A" xfId="334" xr:uid="{00000000-0005-0000-0000-00004E010000}"/>
    <cellStyle name="R03B" xfId="335" xr:uid="{00000000-0005-0000-0000-00004F010000}"/>
    <cellStyle name="R03H" xfId="336" xr:uid="{00000000-0005-0000-0000-000050010000}"/>
    <cellStyle name="R03L" xfId="337" xr:uid="{00000000-0005-0000-0000-000051010000}"/>
    <cellStyle name="R04A" xfId="338" xr:uid="{00000000-0005-0000-0000-000052010000}"/>
    <cellStyle name="R04B" xfId="339" xr:uid="{00000000-0005-0000-0000-000053010000}"/>
    <cellStyle name="R04H" xfId="340" xr:uid="{00000000-0005-0000-0000-000054010000}"/>
    <cellStyle name="R04L" xfId="341" xr:uid="{00000000-0005-0000-0000-000055010000}"/>
    <cellStyle name="R05A" xfId="342" xr:uid="{00000000-0005-0000-0000-000056010000}"/>
    <cellStyle name="R05B" xfId="343" xr:uid="{00000000-0005-0000-0000-000057010000}"/>
    <cellStyle name="R05H" xfId="344" xr:uid="{00000000-0005-0000-0000-000058010000}"/>
    <cellStyle name="R05L" xfId="345" xr:uid="{00000000-0005-0000-0000-000059010000}"/>
    <cellStyle name="R06A" xfId="346" xr:uid="{00000000-0005-0000-0000-00005A010000}"/>
    <cellStyle name="R06B" xfId="347" xr:uid="{00000000-0005-0000-0000-00005B010000}"/>
    <cellStyle name="R06H" xfId="348" xr:uid="{00000000-0005-0000-0000-00005C010000}"/>
    <cellStyle name="R06L" xfId="349" xr:uid="{00000000-0005-0000-0000-00005D010000}"/>
    <cellStyle name="R07A" xfId="350" xr:uid="{00000000-0005-0000-0000-00005E010000}"/>
    <cellStyle name="R07B" xfId="351" xr:uid="{00000000-0005-0000-0000-00005F010000}"/>
    <cellStyle name="R07H" xfId="352" xr:uid="{00000000-0005-0000-0000-000060010000}"/>
    <cellStyle name="R07L" xfId="353" xr:uid="{00000000-0005-0000-0000-000061010000}"/>
    <cellStyle name="Title" xfId="354" builtinId="15" customBuiltin="1"/>
    <cellStyle name="Title 2" xfId="355" xr:uid="{00000000-0005-0000-0000-000063010000}"/>
    <cellStyle name="Total" xfId="356" builtinId="25" customBuiltin="1"/>
    <cellStyle name="Total 2" xfId="357" xr:uid="{00000000-0005-0000-0000-000065010000}"/>
    <cellStyle name="Warning Text" xfId="358" builtinId="11" customBuiltin="1"/>
    <cellStyle name="Warning Text 2" xfId="359" xr:uid="{00000000-0005-0000-0000-000067010000}"/>
  </cellStyles>
  <dxfs count="20">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T390"/>
  <sheetViews>
    <sheetView tabSelected="1" view="pageBreakPreview" zoomScale="60" zoomScaleNormal="70" zoomScalePageLayoutView="50" workbookViewId="0">
      <selection activeCell="E14" sqref="E14"/>
    </sheetView>
  </sheetViews>
  <sheetFormatPr defaultColWidth="11.42578125" defaultRowHeight="15"/>
  <cols>
    <col min="1" max="1" width="4.7109375" style="123" customWidth="1"/>
    <col min="2" max="2" width="7.85546875" style="122" customWidth="1"/>
    <col min="3" max="3" width="1.85546875" style="123" customWidth="1"/>
    <col min="4" max="4" width="56" style="123" customWidth="1"/>
    <col min="5" max="5" width="51.5703125" style="123" customWidth="1"/>
    <col min="6" max="6" width="17.5703125" style="123" customWidth="1"/>
    <col min="7" max="7" width="20.7109375" style="123" customWidth="1"/>
    <col min="8" max="8" width="20" style="123" customWidth="1"/>
    <col min="9" max="9" width="10" style="123" customWidth="1"/>
    <col min="10" max="10" width="17" style="123" customWidth="1"/>
    <col min="11" max="11" width="11.140625" style="123" customWidth="1"/>
    <col min="12" max="12" width="21.140625" style="123" customWidth="1"/>
    <col min="13" max="13" width="17.5703125" style="123" customWidth="1"/>
    <col min="14" max="14" width="11.140625" style="123" customWidth="1"/>
    <col min="15" max="15" width="21.85546875" style="123" customWidth="1"/>
    <col min="16" max="16" width="11.42578125" style="123" customWidth="1"/>
    <col min="17" max="17" width="20.5703125" style="123" bestFit="1" customWidth="1"/>
    <col min="18" max="16384" width="11.42578125" style="123"/>
  </cols>
  <sheetData>
    <row r="1" spans="1:15" ht="15.75">
      <c r="A1" s="712" t="s">
        <v>414</v>
      </c>
    </row>
    <row r="2" spans="1:15" ht="15.75">
      <c r="A2" s="712" t="s">
        <v>414</v>
      </c>
    </row>
    <row r="3" spans="1:15" ht="15.75">
      <c r="D3"/>
      <c r="E3" s="124"/>
      <c r="F3" s="124"/>
      <c r="G3" s="125"/>
      <c r="I3" s="126"/>
      <c r="J3" s="126"/>
      <c r="K3" s="126"/>
      <c r="M3" s="123" t="s">
        <v>414</v>
      </c>
      <c r="N3" s="127" t="s">
        <v>414</v>
      </c>
      <c r="O3" s="123" t="s">
        <v>414</v>
      </c>
    </row>
    <row r="4" spans="1:15">
      <c r="I4" s="123" t="s">
        <v>554</v>
      </c>
      <c r="L4" s="284">
        <v>2026</v>
      </c>
    </row>
    <row r="5" spans="1:15">
      <c r="D5" s="128"/>
      <c r="E5" s="128"/>
      <c r="F5" s="17" t="s">
        <v>329</v>
      </c>
      <c r="G5" s="129"/>
      <c r="H5" s="129"/>
      <c r="J5" s="128"/>
      <c r="K5" s="128"/>
      <c r="L5" s="128"/>
      <c r="N5" s="130"/>
    </row>
    <row r="6" spans="1:15">
      <c r="D6" s="128"/>
      <c r="E6" s="131"/>
      <c r="F6" s="17" t="s">
        <v>203</v>
      </c>
      <c r="G6" s="129"/>
      <c r="H6" s="129"/>
      <c r="J6" s="131"/>
      <c r="K6" s="128"/>
      <c r="L6" s="128"/>
    </row>
    <row r="7" spans="1:15">
      <c r="D7" s="128"/>
      <c r="E7" s="128"/>
      <c r="F7" s="2" t="str">
        <f>"Utilizing  Actual/Projected FERC Form 1 Data"</f>
        <v>Utilizing  Actual/Projected FERC Form 1 Data</v>
      </c>
      <c r="G7" s="129"/>
      <c r="H7" s="129"/>
      <c r="J7" s="128"/>
      <c r="K7" s="128"/>
      <c r="L7" s="128"/>
    </row>
    <row r="8" spans="1:15">
      <c r="B8" s="132"/>
      <c r="C8" s="133"/>
      <c r="D8" s="128"/>
      <c r="H8" s="134"/>
      <c r="I8" s="134"/>
      <c r="J8" s="134"/>
      <c r="K8" s="134"/>
      <c r="L8" s="128"/>
    </row>
    <row r="9" spans="1:15" ht="15.75">
      <c r="B9" s="132"/>
      <c r="C9" s="133"/>
      <c r="D9"/>
      <c r="E9" s="128"/>
      <c r="F9" s="135" t="s">
        <v>798</v>
      </c>
      <c r="G9" s="136"/>
      <c r="H9" s="128"/>
      <c r="I9" s="128"/>
      <c r="J9" s="128"/>
      <c r="K9" s="128"/>
      <c r="L9"/>
    </row>
    <row r="10" spans="1:15">
      <c r="B10" s="132"/>
      <c r="C10" s="133"/>
      <c r="D10" s="128"/>
      <c r="E10" s="128"/>
      <c r="F10" s="137"/>
      <c r="G10" s="136"/>
      <c r="H10" s="128"/>
      <c r="I10" s="128"/>
      <c r="J10" s="128"/>
      <c r="K10" s="128"/>
      <c r="L10"/>
    </row>
    <row r="11" spans="1:15">
      <c r="B11" s="132" t="s">
        <v>467</v>
      </c>
      <c r="C11" s="133"/>
      <c r="D11" s="128"/>
      <c r="E11" s="128"/>
      <c r="F11" s="128"/>
      <c r="G11" s="136"/>
      <c r="H11" s="128"/>
      <c r="I11" s="128"/>
      <c r="J11" s="128"/>
      <c r="K11" s="128"/>
      <c r="L11" s="133" t="s">
        <v>415</v>
      </c>
    </row>
    <row r="12" spans="1:15" ht="15.75" thickBot="1">
      <c r="B12" s="138" t="s">
        <v>417</v>
      </c>
      <c r="C12" s="133"/>
      <c r="D12" s="128"/>
      <c r="E12" s="133"/>
      <c r="F12" s="128"/>
      <c r="G12" s="128"/>
      <c r="H12" s="128"/>
      <c r="I12" s="128"/>
      <c r="J12" s="128"/>
      <c r="K12" s="128"/>
      <c r="L12" s="139" t="s">
        <v>468</v>
      </c>
    </row>
    <row r="13" spans="1:15">
      <c r="B13" s="132">
        <v>1</v>
      </c>
      <c r="C13" s="133"/>
      <c r="D13" s="129" t="s">
        <v>411</v>
      </c>
      <c r="E13" s="128" t="str">
        <f>"(ln "&amp;B199&amp;")"</f>
        <v>(ln 113)</v>
      </c>
      <c r="F13" s="128"/>
      <c r="G13" s="131"/>
      <c r="H13" s="140"/>
      <c r="I13" s="128"/>
      <c r="J13" s="128"/>
      <c r="K13" s="128"/>
      <c r="L13" s="141">
        <f>+L199</f>
        <v>553894297.17740774</v>
      </c>
    </row>
    <row r="14" spans="1:15" ht="15.75" thickBot="1">
      <c r="B14" s="132"/>
      <c r="C14" s="133"/>
      <c r="E14" s="142"/>
      <c r="F14" s="131"/>
      <c r="G14" s="139" t="s">
        <v>418</v>
      </c>
      <c r="H14" s="131"/>
      <c r="I14" s="143" t="s">
        <v>419</v>
      </c>
      <c r="J14" s="143"/>
      <c r="K14" s="128"/>
      <c r="L14" s="131"/>
    </row>
    <row r="15" spans="1:15">
      <c r="B15" s="132">
        <f>+B13+1</f>
        <v>2</v>
      </c>
      <c r="C15" s="133"/>
      <c r="D15" s="129" t="s">
        <v>466</v>
      </c>
      <c r="E15" s="142" t="str">
        <f>"(Worksheet E,  ln  "&amp;'WS E Rev Credits'!A31&amp;") (Note A) "</f>
        <v xml:space="preserve">(Worksheet E,  ln  8) (Note A) </v>
      </c>
      <c r="F15" s="131"/>
      <c r="G15" s="144">
        <f>+'WS E Rev Credits'!K31</f>
        <v>2187425.088</v>
      </c>
      <c r="H15" s="131"/>
      <c r="I15" s="145" t="s">
        <v>428</v>
      </c>
      <c r="J15" s="146">
        <v>1</v>
      </c>
      <c r="K15" s="131"/>
      <c r="L15" s="147">
        <f>+J15*G15</f>
        <v>2187425.088</v>
      </c>
    </row>
    <row r="16" spans="1:15">
      <c r="B16" s="132"/>
      <c r="C16" s="133"/>
      <c r="D16" s="129"/>
      <c r="E16" s="142"/>
      <c r="F16" s="131"/>
      <c r="G16" s="144"/>
      <c r="H16" s="131"/>
      <c r="I16" s="145"/>
      <c r="J16" s="146"/>
      <c r="K16" s="131"/>
      <c r="L16" s="147"/>
    </row>
    <row r="17" spans="2:12">
      <c r="B17" s="132">
        <f>+B15+1</f>
        <v>3</v>
      </c>
      <c r="C17" s="133"/>
      <c r="D17" s="129" t="s">
        <v>555</v>
      </c>
      <c r="E17" s="123" t="str">
        <f>"Worksheet E, ln "&amp;'WS E Rev Credits'!A33&amp;") (Note X) "</f>
        <v xml:space="preserve">Worksheet E, ln 9) (Note X) </v>
      </c>
      <c r="F17" s="131"/>
      <c r="L17" s="127">
        <f>'WS E Rev Credits'!K33</f>
        <v>0</v>
      </c>
    </row>
    <row r="18" spans="2:12" ht="30.75" thickBot="1">
      <c r="B18" s="132">
        <f>+B17+1</f>
        <v>4</v>
      </c>
      <c r="C18" s="133"/>
      <c r="D18" s="148" t="s">
        <v>252</v>
      </c>
      <c r="E18" s="142" t="str">
        <f>"(ln "&amp;B13&amp;"  less ln " &amp;B15&amp;" plus ln 3)"</f>
        <v>(ln 1  less ln 2 plus ln 3)</v>
      </c>
      <c r="F18" s="128"/>
      <c r="H18" s="131"/>
      <c r="I18" s="145"/>
      <c r="J18" s="131"/>
      <c r="K18" s="131"/>
      <c r="L18" s="149">
        <f>+L13-L15+L17</f>
        <v>551706872.08940768</v>
      </c>
    </row>
    <row r="19" spans="2:12" ht="15.75" thickTop="1">
      <c r="B19" s="132"/>
      <c r="C19" s="133"/>
      <c r="D19" s="129"/>
      <c r="E19" s="142"/>
      <c r="F19" s="128"/>
      <c r="H19" s="131"/>
      <c r="I19" s="145"/>
      <c r="J19" s="131"/>
      <c r="K19" s="131"/>
      <c r="L19" s="147"/>
    </row>
    <row r="20" spans="2:12">
      <c r="B20" s="132"/>
      <c r="C20" s="133"/>
      <c r="D20" s="129"/>
      <c r="E20" s="142"/>
      <c r="F20" s="128"/>
      <c r="H20" s="131"/>
      <c r="I20" s="145"/>
      <c r="J20" s="131"/>
      <c r="K20" s="131"/>
      <c r="L20" s="147"/>
    </row>
    <row r="21" spans="2:12" ht="15" customHeight="1">
      <c r="B21" s="1117"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17"/>
      <c r="D21" s="1117"/>
      <c r="E21" s="1117"/>
      <c r="F21" s="1117"/>
      <c r="G21" s="1117"/>
      <c r="H21" s="1117"/>
      <c r="I21" s="1117"/>
    </row>
    <row r="22" spans="2:12" ht="35.25" customHeight="1">
      <c r="B22" s="1117"/>
      <c r="C22" s="1117"/>
      <c r="D22" s="1117"/>
      <c r="E22" s="1117"/>
      <c r="F22" s="1117"/>
      <c r="G22" s="1117"/>
      <c r="H22" s="1117"/>
      <c r="I22" s="1117"/>
    </row>
    <row r="23" spans="2:12" ht="15" customHeight="1">
      <c r="B23" s="150"/>
      <c r="C23" s="150"/>
      <c r="D23" s="150"/>
      <c r="E23" s="150"/>
      <c r="F23" s="150"/>
      <c r="G23" s="150"/>
      <c r="H23" s="150"/>
      <c r="I23" s="150"/>
    </row>
    <row r="24" spans="2:12">
      <c r="B24" s="132">
        <f>+B18+1</f>
        <v>5</v>
      </c>
      <c r="C24" s="133"/>
      <c r="D24" s="129" t="s">
        <v>556</v>
      </c>
      <c r="E24" s="142"/>
      <c r="F24" s="131"/>
      <c r="G24" s="889">
        <f>+'WS J PROJECTED RTEP RR'!M26</f>
        <v>47085000.845832519</v>
      </c>
      <c r="H24" s="131"/>
      <c r="I24" s="145" t="s">
        <v>428</v>
      </c>
      <c r="J24" s="146">
        <v>1</v>
      </c>
      <c r="K24" s="128"/>
      <c r="L24" s="147">
        <f>+J24*G24</f>
        <v>47085000.845832519</v>
      </c>
    </row>
    <row r="25" spans="2:12">
      <c r="B25" s="132"/>
      <c r="C25" s="133"/>
      <c r="D25" s="129"/>
      <c r="E25" s="142"/>
      <c r="F25" s="131"/>
      <c r="G25" s="144"/>
      <c r="H25" s="131"/>
      <c r="I25" s="131"/>
      <c r="J25" s="146"/>
      <c r="K25" s="128"/>
      <c r="L25" s="147"/>
    </row>
    <row r="26" spans="2:12">
      <c r="B26" s="132">
        <f>+B24+1</f>
        <v>6</v>
      </c>
      <c r="C26" s="133"/>
      <c r="D26" s="129" t="s">
        <v>176</v>
      </c>
      <c r="E26" s="142"/>
      <c r="F26" s="128"/>
      <c r="G26" s="151"/>
      <c r="H26" s="128"/>
      <c r="J26" s="128"/>
      <c r="K26" s="128"/>
    </row>
    <row r="27" spans="2:12">
      <c r="B27" s="132">
        <f>B26+1</f>
        <v>7</v>
      </c>
      <c r="C27" s="133"/>
      <c r="D27" s="128" t="s">
        <v>48</v>
      </c>
      <c r="E27" s="128" t="str">
        <f>"( (ln "&amp;B13&amp;"- ln "&amp;B157&amp;")/((ln "&amp;$B$83&amp;" ) x 100) )"</f>
        <v>( (ln 1- ln 80)/((ln 33 ) x 100) )</v>
      </c>
      <c r="F27" s="133"/>
      <c r="G27" s="133"/>
      <c r="H27" s="133"/>
      <c r="I27" s="152"/>
      <c r="J27" s="152"/>
      <c r="K27" s="152"/>
      <c r="L27" s="153">
        <f>IF((L83)=0,0,(L13-L157)/(L83))</f>
        <v>0.14462802729397908</v>
      </c>
    </row>
    <row r="28" spans="2:12">
      <c r="B28" s="132">
        <f>B27+1</f>
        <v>8</v>
      </c>
      <c r="C28" s="133"/>
      <c r="D28" s="128" t="s">
        <v>49</v>
      </c>
      <c r="E28" s="128" t="str">
        <f>"(ln "&amp;B27&amp;" / 12)"</f>
        <v>(ln 7 / 12)</v>
      </c>
      <c r="F28" s="133"/>
      <c r="G28" s="133"/>
      <c r="H28" s="133"/>
      <c r="I28" s="152"/>
      <c r="J28" s="152"/>
      <c r="K28" s="152"/>
      <c r="L28" s="153">
        <f>L27/12</f>
        <v>1.205233560783159E-2</v>
      </c>
    </row>
    <row r="29" spans="2:12">
      <c r="B29" s="132"/>
      <c r="C29" s="133"/>
      <c r="D29" s="128"/>
      <c r="E29" s="128"/>
      <c r="F29" s="133"/>
      <c r="G29" s="133"/>
      <c r="H29" s="133"/>
      <c r="I29" s="152"/>
      <c r="J29" s="152"/>
      <c r="K29" s="152"/>
      <c r="L29" s="153"/>
    </row>
    <row r="30" spans="2:12">
      <c r="B30" s="132">
        <f>B28+1</f>
        <v>9</v>
      </c>
      <c r="C30" s="133"/>
      <c r="D30" s="129" t="str">
        <f>"NET PLANT CARRYING CHARGE ON LINE "&amp;B27&amp;" , w/o depreciation or ROE incentives (Note B)"</f>
        <v>NET PLANT CARRYING CHARGE ON LINE 7 , w/o depreciation or ROE incentives (Note B)</v>
      </c>
      <c r="E30" s="128"/>
      <c r="F30" s="133"/>
      <c r="G30" s="133"/>
      <c r="H30" s="133"/>
      <c r="I30" s="152"/>
      <c r="J30" s="152"/>
      <c r="K30" s="152"/>
      <c r="L30" s="153"/>
    </row>
    <row r="31" spans="2:12">
      <c r="B31" s="132">
        <f>B30+1</f>
        <v>10</v>
      </c>
      <c r="C31" s="133"/>
      <c r="D31" s="128" t="s">
        <v>48</v>
      </c>
      <c r="E31" s="128" t="str">
        <f>"( (ln "&amp;B13&amp;"- ln "&amp;B157&amp;" - ln "&amp;B161&amp;")/((ln "&amp;$B$83&amp;") x 100) )"</f>
        <v>( (ln 1- ln 80 - ln 83)/((ln 33) x 100) )</v>
      </c>
      <c r="F31" s="133"/>
      <c r="G31" s="133"/>
      <c r="H31" s="133"/>
      <c r="I31" s="152"/>
      <c r="J31" s="152"/>
      <c r="K31" s="152"/>
      <c r="L31" s="153">
        <f>IF(L83=0,0,(L13-L157-L161)/L83)</f>
        <v>0.11191367266500543</v>
      </c>
    </row>
    <row r="32" spans="2:12">
      <c r="B32" s="132"/>
      <c r="C32" s="133"/>
      <c r="D32" s="128"/>
      <c r="E32" s="128"/>
      <c r="F32" s="133"/>
      <c r="G32" s="133"/>
      <c r="H32" s="133"/>
      <c r="I32" s="152"/>
      <c r="J32" s="152"/>
      <c r="K32" s="152"/>
      <c r="L32" s="153"/>
    </row>
    <row r="33" spans="2:12">
      <c r="B33" s="132">
        <f>B31+1</f>
        <v>11</v>
      </c>
      <c r="C33" s="133"/>
      <c r="D33" s="129" t="str">
        <f>"NET PLANT CARRYING CHARGE ON LINE "&amp;B31&amp;", w/o Return, income taxes or ROE incentives (Note B)"</f>
        <v>NET PLANT CARRYING CHARGE ON LINE 10, w/o Return, income taxes or ROE incentives (Note B)</v>
      </c>
      <c r="E33" s="128"/>
      <c r="F33" s="41"/>
      <c r="G33" s="41"/>
      <c r="H33" s="41"/>
      <c r="I33" s="41"/>
      <c r="J33" s="41"/>
      <c r="K33" s="41"/>
      <c r="L33" s="41"/>
    </row>
    <row r="34" spans="2:12">
      <c r="B34" s="132">
        <f>B33+1</f>
        <v>12</v>
      </c>
      <c r="C34" s="133"/>
      <c r="D34" s="128" t="s">
        <v>48</v>
      </c>
      <c r="E34" s="128" t="str">
        <f>"( (ln "&amp;B13&amp;" - ln "&amp;B157&amp;" - ln "&amp;B161&amp;" - ln "&amp;B189&amp;" - ln "&amp;B191&amp;") /((ln "&amp;$B$83&amp;") x 100) )"</f>
        <v>( (ln 1 - ln 80 - ln 83 - ln 108 - ln 109) /((ln 33) x 100) )</v>
      </c>
      <c r="F34" s="41"/>
      <c r="G34" s="41"/>
      <c r="H34" s="41"/>
      <c r="I34" s="41"/>
      <c r="J34" s="41"/>
      <c r="K34" s="41"/>
      <c r="L34" s="154">
        <f>IF(L83=0,0,(L13-L157-L161-L189-L191)/L83)</f>
        <v>2.4678602135667017E-2</v>
      </c>
    </row>
    <row r="35" spans="2:12">
      <c r="B35" s="132"/>
      <c r="C35" s="133"/>
      <c r="D35" s="128"/>
      <c r="E35" s="128"/>
      <c r="F35" s="133"/>
      <c r="G35" s="133"/>
      <c r="H35" s="133"/>
      <c r="I35" s="152"/>
      <c r="J35" s="152"/>
      <c r="K35" s="152"/>
      <c r="L35" s="153"/>
    </row>
    <row r="36" spans="2:12">
      <c r="B36" s="132">
        <f>B34+1</f>
        <v>13</v>
      </c>
      <c r="C36" s="133"/>
      <c r="D36" s="129" t="s">
        <v>557</v>
      </c>
      <c r="E36" s="128"/>
      <c r="F36" s="133"/>
      <c r="G36" s="133"/>
      <c r="H36" s="133"/>
      <c r="I36" s="152"/>
      <c r="J36" s="152"/>
      <c r="K36" s="152"/>
      <c r="L36" s="282">
        <f>+'WS J PROJECTED RTEP RR'!O26</f>
        <v>0</v>
      </c>
    </row>
    <row r="37" spans="2:12">
      <c r="B37" s="132"/>
      <c r="C37" s="133"/>
      <c r="E37" s="128"/>
      <c r="F37" s="133"/>
      <c r="G37" s="133"/>
      <c r="H37" s="133"/>
      <c r="I37" s="152"/>
      <c r="J37" s="152"/>
      <c r="K37" s="152"/>
      <c r="L37" s="153"/>
    </row>
    <row r="38" spans="2:12">
      <c r="B38" s="123"/>
      <c r="C38" s="133"/>
      <c r="E38" s="128"/>
      <c r="F38" s="133"/>
      <c r="G38" s="133"/>
      <c r="H38" s="133"/>
      <c r="I38" s="152"/>
      <c r="J38" s="152"/>
      <c r="K38" s="152"/>
      <c r="L38" s="153"/>
    </row>
    <row r="39" spans="2:12" ht="15.75">
      <c r="B39" s="132">
        <f>+B36+1</f>
        <v>14</v>
      </c>
      <c r="C39" s="133"/>
      <c r="D39" s="1123" t="s">
        <v>215</v>
      </c>
      <c r="E39" s="1123"/>
      <c r="F39" s="1123"/>
      <c r="G39" s="1123"/>
      <c r="H39" s="1123"/>
      <c r="I39" s="1123"/>
      <c r="J39" s="1123"/>
      <c r="K39" s="1123"/>
      <c r="L39" s="1123"/>
    </row>
    <row r="40" spans="2:12">
      <c r="B40" s="132"/>
      <c r="C40" s="133"/>
      <c r="E40" s="128"/>
      <c r="F40" s="133"/>
      <c r="G40" s="133"/>
      <c r="H40" s="133"/>
      <c r="I40" s="152"/>
      <c r="J40" s="152"/>
      <c r="K40" s="152"/>
      <c r="L40" s="153"/>
    </row>
    <row r="41" spans="2:12">
      <c r="B41" s="132">
        <f>+B39+1</f>
        <v>15</v>
      </c>
      <c r="C41" s="133"/>
      <c r="D41" s="129" t="s">
        <v>217</v>
      </c>
      <c r="E41" s="128" t="str">
        <f>"Line "&amp;B137&amp;" Below"</f>
        <v>Line 63 Below</v>
      </c>
      <c r="F41" s="133"/>
      <c r="H41" s="133"/>
      <c r="I41" s="152"/>
      <c r="J41" s="152"/>
      <c r="K41" s="152"/>
      <c r="L41" s="155">
        <f>+G137</f>
        <v>1017787.6472227322</v>
      </c>
    </row>
    <row r="42" spans="2:12">
      <c r="B42" s="132">
        <f>+B41+1</f>
        <v>16</v>
      </c>
      <c r="C42" s="133"/>
      <c r="D42" s="129" t="s">
        <v>282</v>
      </c>
      <c r="E42" s="128"/>
      <c r="F42" s="133"/>
      <c r="H42" s="133"/>
      <c r="I42" s="152"/>
      <c r="J42" s="152"/>
      <c r="K42" s="152"/>
      <c r="L42" s="113">
        <f>'WS F Misc Exp'!D28</f>
        <v>0</v>
      </c>
    </row>
    <row r="43" spans="2:12">
      <c r="B43" s="132">
        <f>+B42+1</f>
        <v>17</v>
      </c>
      <c r="C43" s="133"/>
      <c r="D43" s="129" t="s">
        <v>283</v>
      </c>
      <c r="E43" s="128"/>
      <c r="F43" s="133"/>
      <c r="H43" s="133"/>
      <c r="I43" s="152"/>
      <c r="J43" s="152"/>
      <c r="K43" s="152"/>
      <c r="L43" s="113">
        <f>'WS F Misc Exp'!D32</f>
        <v>0</v>
      </c>
    </row>
    <row r="44" spans="2:12">
      <c r="B44" s="132"/>
      <c r="C44" s="133"/>
      <c r="E44" s="128"/>
      <c r="F44" s="133"/>
      <c r="H44" s="133"/>
      <c r="I44" s="152"/>
      <c r="J44" s="152"/>
      <c r="K44" s="152"/>
      <c r="L44" s="133"/>
    </row>
    <row r="45" spans="2:12" ht="15.75" thickBot="1">
      <c r="B45" s="132">
        <f>+B43+1</f>
        <v>18</v>
      </c>
      <c r="C45" s="133"/>
      <c r="D45" s="129" t="s">
        <v>216</v>
      </c>
      <c r="E45" s="140" t="str">
        <f>"(Line "&amp;B41&amp;" - Line "&amp;B42&amp;" - Line "&amp;B43&amp;")"</f>
        <v>(Line 15 - Line 16 - Line 17)</v>
      </c>
      <c r="F45" s="133"/>
      <c r="H45" s="133"/>
      <c r="I45" s="152"/>
      <c r="J45" s="152"/>
      <c r="K45" s="152"/>
      <c r="L45" s="156">
        <f>+L41-L42-L43</f>
        <v>1017787.6472227322</v>
      </c>
    </row>
    <row r="46" spans="2:12" ht="15.75" thickTop="1">
      <c r="B46" s="132"/>
      <c r="C46" s="133"/>
      <c r="E46" s="128"/>
      <c r="F46" s="133"/>
      <c r="G46" s="133"/>
      <c r="H46" s="133"/>
      <c r="I46" s="152"/>
      <c r="J46" s="152"/>
      <c r="K46" s="152"/>
      <c r="L46" s="153"/>
    </row>
    <row r="47" spans="2:12">
      <c r="B47" s="132"/>
      <c r="C47" s="133"/>
      <c r="E47" s="128"/>
      <c r="F47" s="133"/>
      <c r="G47" s="133"/>
      <c r="H47" s="133"/>
      <c r="I47" s="152"/>
      <c r="J47" s="152"/>
      <c r="K47" s="152"/>
      <c r="L47" s="153"/>
    </row>
    <row r="48" spans="2:12">
      <c r="B48" s="132"/>
      <c r="C48" s="133"/>
      <c r="E48" s="128"/>
      <c r="F48" s="133"/>
      <c r="G48" s="133"/>
      <c r="H48" s="133"/>
      <c r="I48" s="152"/>
      <c r="J48" s="152"/>
      <c r="K48" s="152"/>
      <c r="L48" s="153"/>
    </row>
    <row r="49" spans="2:15">
      <c r="D49" s="128"/>
      <c r="E49" s="128"/>
      <c r="G49" s="140"/>
      <c r="H49" s="128"/>
      <c r="I49" s="128"/>
      <c r="J49" s="128"/>
      <c r="K49" s="128"/>
      <c r="L49" s="128"/>
    </row>
    <row r="50" spans="2:15">
      <c r="D50" s="128"/>
      <c r="E50" s="128"/>
      <c r="F50" s="133"/>
      <c r="G50" s="140"/>
      <c r="H50" s="128"/>
      <c r="I50" s="128"/>
      <c r="J50" s="128"/>
      <c r="K50" s="128"/>
      <c r="L50" s="128"/>
      <c r="O50" s="157"/>
    </row>
    <row r="51" spans="2:15">
      <c r="D51" s="128"/>
      <c r="E51" s="128"/>
      <c r="F51" s="133" t="str">
        <f>F5</f>
        <v>AEPTCo subsidiaries in PJM</v>
      </c>
      <c r="G51" s="140"/>
      <c r="H51" s="128"/>
      <c r="I51" s="128"/>
      <c r="J51" s="128"/>
      <c r="K51" s="128"/>
      <c r="L51" s="128"/>
      <c r="O51" s="157"/>
    </row>
    <row r="52" spans="2:15">
      <c r="D52" s="128"/>
      <c r="E52" s="131"/>
      <c r="F52" s="133" t="str">
        <f>F6</f>
        <v>Transmission Cost of Service Formula Rate</v>
      </c>
      <c r="G52" s="131"/>
      <c r="H52" s="131"/>
      <c r="I52" s="131"/>
      <c r="J52" s="131"/>
      <c r="K52" s="131"/>
      <c r="L52" s="131"/>
      <c r="O52" s="158"/>
    </row>
    <row r="53" spans="2:15">
      <c r="D53" s="128"/>
      <c r="E53" s="131"/>
      <c r="F53" s="145" t="str">
        <f>F7</f>
        <v>Utilizing  Actual/Projected FERC Form 1 Data</v>
      </c>
      <c r="G53" s="131"/>
      <c r="H53" s="131"/>
      <c r="I53" s="131"/>
      <c r="J53" s="131"/>
      <c r="K53" s="131"/>
      <c r="L53" s="131"/>
      <c r="O53" s="158"/>
    </row>
    <row r="54" spans="2:15">
      <c r="D54" s="128"/>
      <c r="E54" s="131"/>
      <c r="F54" s="133"/>
      <c r="G54" s="131"/>
      <c r="H54" s="131"/>
      <c r="I54" s="131"/>
      <c r="J54" s="131"/>
      <c r="K54" s="131"/>
      <c r="L54" s="131"/>
      <c r="O54" s="158"/>
    </row>
    <row r="55" spans="2:15">
      <c r="D55" s="128"/>
      <c r="E55" s="131"/>
      <c r="F55" s="133" t="str">
        <f>F9</f>
        <v>AEP Indiana Michigan Transmission Company</v>
      </c>
      <c r="G55" s="131"/>
      <c r="H55" s="131"/>
      <c r="I55" s="131"/>
      <c r="J55" s="131"/>
      <c r="K55" s="131"/>
      <c r="L55" s="131"/>
      <c r="O55" s="158"/>
    </row>
    <row r="56" spans="2:15">
      <c r="D56" s="128"/>
      <c r="E56" s="145"/>
      <c r="F56" s="145"/>
      <c r="G56" s="145"/>
      <c r="H56" s="145"/>
      <c r="I56" s="145"/>
      <c r="J56" s="145"/>
      <c r="K56" s="145"/>
      <c r="L56" s="131"/>
      <c r="O56" s="158"/>
    </row>
    <row r="57" spans="2:15">
      <c r="D57" s="133" t="s">
        <v>421</v>
      </c>
      <c r="E57" s="133" t="s">
        <v>422</v>
      </c>
      <c r="F57" s="133"/>
      <c r="G57" s="133" t="s">
        <v>423</v>
      </c>
      <c r="H57" s="131" t="s">
        <v>414</v>
      </c>
      <c r="I57" s="1118" t="s">
        <v>424</v>
      </c>
      <c r="J57" s="1119"/>
      <c r="K57" s="131"/>
      <c r="L57" s="134" t="s">
        <v>425</v>
      </c>
    </row>
    <row r="58" spans="2:15">
      <c r="B58" s="123"/>
      <c r="D58" s="41"/>
      <c r="E58" s="41"/>
      <c r="F58" s="41"/>
      <c r="G58" s="155"/>
      <c r="H58" s="131"/>
      <c r="I58" s="131"/>
      <c r="J58" s="160"/>
      <c r="K58" s="131"/>
    </row>
    <row r="59" spans="2:15" ht="15.75">
      <c r="B59" s="161"/>
      <c r="C59" s="133"/>
      <c r="D59" s="41"/>
      <c r="E59" s="162" t="s">
        <v>394</v>
      </c>
      <c r="F59" s="163"/>
      <c r="G59" s="131"/>
      <c r="H59" s="131"/>
      <c r="I59" s="131"/>
      <c r="J59" s="133"/>
      <c r="K59" s="131"/>
      <c r="L59" s="164" t="s">
        <v>418</v>
      </c>
      <c r="O59" s="157"/>
    </row>
    <row r="60" spans="2:15" ht="15.75">
      <c r="B60" s="123"/>
      <c r="C60" s="133"/>
      <c r="D60" s="165" t="s">
        <v>393</v>
      </c>
      <c r="E60" s="166" t="s">
        <v>412</v>
      </c>
      <c r="F60" s="131"/>
      <c r="G60" s="165" t="s">
        <v>380</v>
      </c>
      <c r="H60" s="167"/>
      <c r="I60" s="1120" t="s">
        <v>419</v>
      </c>
      <c r="J60" s="1121"/>
      <c r="K60" s="167"/>
      <c r="L60" s="165" t="s">
        <v>415</v>
      </c>
    </row>
    <row r="61" spans="2:15">
      <c r="B61" s="132" t="str">
        <f>B11</f>
        <v>Line</v>
      </c>
      <c r="C61" s="133"/>
      <c r="D61" s="128"/>
      <c r="E61" s="131"/>
      <c r="F61" s="131"/>
      <c r="G61" s="168" t="s">
        <v>156</v>
      </c>
      <c r="H61" s="131"/>
      <c r="I61" s="131"/>
      <c r="J61" s="131"/>
      <c r="K61" s="131"/>
      <c r="L61" s="131"/>
    </row>
    <row r="62" spans="2:15" ht="15.75" thickBot="1">
      <c r="B62" s="138" t="str">
        <f>B12</f>
        <v>No.</v>
      </c>
      <c r="C62" s="133"/>
      <c r="D62" s="128" t="s">
        <v>381</v>
      </c>
      <c r="E62" s="145"/>
      <c r="F62" s="145"/>
      <c r="G62" s="131"/>
      <c r="H62" s="131"/>
      <c r="I62" s="145"/>
      <c r="J62" s="131"/>
      <c r="K62" s="131"/>
      <c r="L62" s="131"/>
    </row>
    <row r="63" spans="2:15">
      <c r="B63" s="132">
        <f>+B45+1</f>
        <v>19</v>
      </c>
      <c r="C63" s="170"/>
      <c r="D63" s="171" t="s">
        <v>427</v>
      </c>
      <c r="E63" s="131" t="str">
        <f>"(Worksheet A ln "&amp;'WS A - Rate Base Support'!A23&amp;"."&amp;'WS A - Rate Base Support'!C8 &amp;" &amp; Ln "&amp;B215&amp;")"</f>
        <v>(Worksheet A ln 14.(b) &amp; Ln 117)</v>
      </c>
      <c r="F63" s="172"/>
      <c r="G63" s="144">
        <f>'WS A - Rate Base Support'!C23</f>
        <v>4647865846.5563107</v>
      </c>
      <c r="H63" s="144"/>
      <c r="I63" s="194" t="s">
        <v>428</v>
      </c>
      <c r="J63" s="146"/>
      <c r="K63" s="174"/>
      <c r="L63" s="173">
        <f>+L215</f>
        <v>4515957150.7208729</v>
      </c>
    </row>
    <row r="64" spans="2:15">
      <c r="B64" s="132">
        <f>+B63+1</f>
        <v>20</v>
      </c>
      <c r="C64" s="170"/>
      <c r="D64" s="128" t="s">
        <v>179</v>
      </c>
      <c r="E64" s="131" t="str">
        <f>"(Worksheet A ln "&amp;'WS A - Rate Base Support'!A23&amp;"."&amp;'WS A - Rate Base Support'!D8 &amp;")"</f>
        <v>(Worksheet A ln 14.(c))</v>
      </c>
      <c r="F64" s="172"/>
      <c r="G64" s="144">
        <f>'WS A - Rate Base Support'!D23</f>
        <v>0</v>
      </c>
      <c r="H64" s="144"/>
      <c r="I64" s="194" t="s">
        <v>420</v>
      </c>
      <c r="J64" s="146">
        <f>J140</f>
        <v>0.97161951308616801</v>
      </c>
      <c r="K64" s="174"/>
      <c r="L64" s="173">
        <f>+G64*J64</f>
        <v>0</v>
      </c>
    </row>
    <row r="65" spans="2:14">
      <c r="B65" s="132">
        <f>+B64+1</f>
        <v>21</v>
      </c>
      <c r="C65" s="170"/>
      <c r="D65" s="128" t="s">
        <v>429</v>
      </c>
      <c r="E65" s="131" t="str">
        <f>"(Worksheet A ln "&amp;'WS A - Rate Base Support'!A23&amp;"."&amp;'WS A - Rate Base Support'!E8 &amp;")"</f>
        <v>(Worksheet A ln 14.(d))</v>
      </c>
      <c r="F65" s="131"/>
      <c r="G65" s="144">
        <f>'WS A - Rate Base Support'!E23</f>
        <v>102779420.88696001</v>
      </c>
      <c r="H65" s="144"/>
      <c r="I65" s="145" t="s">
        <v>430</v>
      </c>
      <c r="J65" s="146">
        <f>L235</f>
        <v>0.97161951308616801</v>
      </c>
      <c r="K65" s="131"/>
      <c r="L65" s="144">
        <f>+J65*G65</f>
        <v>99862490.87746641</v>
      </c>
    </row>
    <row r="66" spans="2:14">
      <c r="B66" s="132">
        <f>+B65+1</f>
        <v>22</v>
      </c>
      <c r="C66" s="170"/>
      <c r="D66" s="128" t="s">
        <v>178</v>
      </c>
      <c r="E66" s="131" t="str">
        <f>"(Worksheet A ln "&amp;'WS A - Rate Base Support'!A23&amp;"."&amp;'WS A - Rate Base Support'!F8 &amp;")"</f>
        <v>(Worksheet A ln 14.(e))</v>
      </c>
      <c r="F66" s="131"/>
      <c r="G66" s="144">
        <f>'WS A - Rate Base Support'!F23</f>
        <v>0</v>
      </c>
      <c r="H66" s="144"/>
      <c r="I66" s="145" t="s">
        <v>430</v>
      </c>
      <c r="J66" s="146">
        <f>L235</f>
        <v>0.97161951308616801</v>
      </c>
      <c r="K66" s="131"/>
      <c r="L66" s="144">
        <f>+G66*J66</f>
        <v>0</v>
      </c>
    </row>
    <row r="67" spans="2:14">
      <c r="B67" s="132">
        <f>+B66+1</f>
        <v>23</v>
      </c>
      <c r="C67" s="170"/>
      <c r="D67" s="128" t="s">
        <v>431</v>
      </c>
      <c r="E67" s="131" t="str">
        <f>"(Worksheet A ln "&amp;'WS A - Rate Base Support'!A23&amp;"."&amp;'WS A - Rate Base Support'!G8 &amp;")"</f>
        <v>(Worksheet A ln 14.(f))</v>
      </c>
      <c r="F67" s="131"/>
      <c r="G67" s="144">
        <f>'WS A - Rate Base Support'!G23</f>
        <v>0</v>
      </c>
      <c r="H67" s="144"/>
      <c r="I67" s="145" t="s">
        <v>430</v>
      </c>
      <c r="J67" s="146">
        <f>L235</f>
        <v>0.97161951308616801</v>
      </c>
      <c r="K67" s="131"/>
      <c r="L67" s="144">
        <f>+J67*G67</f>
        <v>0</v>
      </c>
      <c r="M67" s="128"/>
      <c r="N67" s="128"/>
    </row>
    <row r="68" spans="2:14">
      <c r="B68" s="132"/>
      <c r="C68" s="170"/>
      <c r="D68" s="128"/>
      <c r="E68" s="131"/>
      <c r="F68" s="131"/>
      <c r="G68" s="144"/>
      <c r="H68" s="144"/>
      <c r="I68" s="145"/>
      <c r="J68" s="146"/>
      <c r="K68" s="131"/>
      <c r="L68" s="225"/>
      <c r="M68" s="128"/>
      <c r="N68" s="128"/>
    </row>
    <row r="69" spans="2:14" ht="15.75" thickBot="1">
      <c r="B69" s="132"/>
      <c r="C69" s="170"/>
      <c r="D69" s="128"/>
      <c r="E69" s="131"/>
      <c r="F69" s="131"/>
      <c r="G69" s="175"/>
      <c r="H69" s="144"/>
      <c r="I69" s="145"/>
      <c r="J69" s="146"/>
      <c r="K69" s="131"/>
      <c r="L69" s="1110"/>
      <c r="M69" s="128"/>
      <c r="N69" s="128"/>
    </row>
    <row r="70" spans="2:14" ht="15.75">
      <c r="B70" s="132">
        <f>+B67+1</f>
        <v>24</v>
      </c>
      <c r="C70" s="170"/>
      <c r="D70" s="128" t="s">
        <v>379</v>
      </c>
      <c r="E70" s="131" t="str">
        <f>"(Sum of Lines: "&amp;B63&amp;" to "&amp;B67&amp;")"</f>
        <v>(Sum of Lines: 19 to 23)</v>
      </c>
      <c r="F70" s="98"/>
      <c r="G70" s="144">
        <f>SUM(G63:G69)</f>
        <v>4750645267.4432707</v>
      </c>
      <c r="H70" s="144"/>
      <c r="I70" s="227" t="s">
        <v>1002</v>
      </c>
      <c r="J70" s="1103">
        <f>IF(G70=0,0,L70/G70)</f>
        <v>0.97161951308616801</v>
      </c>
      <c r="K70" s="131"/>
      <c r="L70" s="144">
        <f>SUM(L63:L69)</f>
        <v>4615819641.5983391</v>
      </c>
      <c r="M70" s="128"/>
      <c r="N70" s="128"/>
    </row>
    <row r="71" spans="2:14" ht="15.75">
      <c r="B71" s="132"/>
      <c r="C71" s="133"/>
      <c r="D71" s="128"/>
      <c r="E71" s="343"/>
      <c r="F71" s="41"/>
      <c r="G71" s="144"/>
      <c r="H71" s="144"/>
      <c r="I71" s="227" t="s">
        <v>506</v>
      </c>
      <c r="J71" s="1105">
        <f>+IF(L63=0,0,L63/(G63))</f>
        <v>0.97161951308616801</v>
      </c>
      <c r="K71" s="131"/>
      <c r="L71" s="144"/>
      <c r="M71" s="176"/>
      <c r="N71" s="128"/>
    </row>
    <row r="72" spans="2:14">
      <c r="B72" s="132">
        <f>+B70+1</f>
        <v>25</v>
      </c>
      <c r="C72" s="133"/>
      <c r="D72" s="128" t="s">
        <v>361</v>
      </c>
      <c r="E72" s="145"/>
      <c r="F72" s="145"/>
      <c r="G72" s="144"/>
      <c r="H72" s="1106"/>
      <c r="I72" s="145"/>
      <c r="J72" s="1107"/>
      <c r="K72" s="131"/>
      <c r="L72" s="144"/>
      <c r="M72" s="131"/>
      <c r="N72" s="131"/>
    </row>
    <row r="73" spans="2:14" ht="15.75">
      <c r="B73" s="132">
        <f t="shared" ref="B73:B77" si="0">+B72+1</f>
        <v>26</v>
      </c>
      <c r="C73" s="170"/>
      <c r="D73" s="171" t="str">
        <f>D63</f>
        <v xml:space="preserve">  Transmission</v>
      </c>
      <c r="E73" s="131" t="str">
        <f>"(Worksheet A ln "&amp;'WS A - Rate Base Support'!A42&amp;"."&amp;'WS A - Rate Base Support'!C27 &amp;" &amp; Ln "&amp;'WS A - Rate Base Support'!A64&amp;"."&amp;'WS A - Rate Base Support'!C47&amp;")"</f>
        <v>(Worksheet A ln 28.(b) &amp; Ln 43.(b))</v>
      </c>
      <c r="F73" s="172"/>
      <c r="G73" s="173">
        <f>'WS A - Rate Base Support'!C42</f>
        <v>709444691.95392525</v>
      </c>
      <c r="H73" s="144"/>
      <c r="I73" s="1108" t="s">
        <v>428</v>
      </c>
      <c r="J73" s="177">
        <f>IF(G73=0,1,L73/G73)</f>
        <v>0.96719565163748022</v>
      </c>
      <c r="K73" s="174"/>
      <c r="L73" s="144">
        <f>'WS A - Rate Base Support'!C64</f>
        <v>686171821.13512814</v>
      </c>
      <c r="M73" s="131"/>
      <c r="N73" s="131"/>
    </row>
    <row r="74" spans="2:14" ht="15.75">
      <c r="B74" s="132">
        <f t="shared" si="0"/>
        <v>27</v>
      </c>
      <c r="C74" s="170"/>
      <c r="D74" s="128" t="s">
        <v>179</v>
      </c>
      <c r="E74" s="131" t="str">
        <f>"(Worksheet A ln "&amp;'WS A - Rate Base Support'!A42&amp;"."&amp;'WS A - Rate Base Support'!D27 &amp;")"</f>
        <v>(Worksheet A ln 28.(c))</v>
      </c>
      <c r="F74" s="172"/>
      <c r="G74" s="144">
        <f>'WS A - Rate Base Support'!D42</f>
        <v>0</v>
      </c>
      <c r="H74" s="144"/>
      <c r="I74" s="1108" t="s">
        <v>420</v>
      </c>
      <c r="J74" s="146">
        <f>IF(I74="TP",L217,L73/G73)</f>
        <v>0.97161951308616801</v>
      </c>
      <c r="K74" s="174"/>
      <c r="L74" s="144">
        <f>+J74*G74</f>
        <v>0</v>
      </c>
      <c r="M74" s="131"/>
      <c r="N74" s="131"/>
    </row>
    <row r="75" spans="2:14">
      <c r="B75" s="132">
        <f t="shared" si="0"/>
        <v>28</v>
      </c>
      <c r="C75" s="170"/>
      <c r="D75" s="128" t="str">
        <f>+D65</f>
        <v xml:space="preserve">  General Plant   </v>
      </c>
      <c r="E75" s="131" t="str">
        <f>"(Worksheet A ln "&amp;'WS A - Rate Base Support'!A42&amp;"."&amp;'WS A - Rate Base Support'!E27 &amp;")"</f>
        <v>(Worksheet A ln 28.(d))</v>
      </c>
      <c r="F75" s="131"/>
      <c r="G75" s="144">
        <f>'WS A - Rate Base Support'!E42</f>
        <v>30339188.944269165</v>
      </c>
      <c r="H75" s="144"/>
      <c r="I75" s="145" t="s">
        <v>430</v>
      </c>
      <c r="J75" s="146">
        <f>L235</f>
        <v>0.97161951308616801</v>
      </c>
      <c r="K75" s="131"/>
      <c r="L75" s="144">
        <f>+J75*G75</f>
        <v>29478147.989460059</v>
      </c>
      <c r="M75" s="131"/>
      <c r="N75" s="131"/>
    </row>
    <row r="76" spans="2:14">
      <c r="B76" s="132">
        <f t="shared" si="0"/>
        <v>29</v>
      </c>
      <c r="C76" s="170"/>
      <c r="D76" s="128" t="s">
        <v>178</v>
      </c>
      <c r="E76" s="131" t="str">
        <f>"(Worksheet A ln "&amp;'WS A - Rate Base Support'!A42&amp;"."&amp;'WS A - Rate Base Support'!F27 &amp;")"</f>
        <v>(Worksheet A ln 28.(e))</v>
      </c>
      <c r="F76" s="131"/>
      <c r="G76" s="144">
        <f>'WS A - Rate Base Support'!F42</f>
        <v>0</v>
      </c>
      <c r="H76" s="144"/>
      <c r="I76" s="145" t="s">
        <v>430</v>
      </c>
      <c r="J76" s="146">
        <f>L235</f>
        <v>0.97161951308616801</v>
      </c>
      <c r="K76" s="131"/>
      <c r="L76" s="144">
        <f>+J76*G76</f>
        <v>0</v>
      </c>
      <c r="M76" s="131"/>
      <c r="N76" s="131"/>
    </row>
    <row r="77" spans="2:14">
      <c r="B77" s="132">
        <f t="shared" si="0"/>
        <v>30</v>
      </c>
      <c r="C77" s="170"/>
      <c r="D77" s="128" t="str">
        <f>+D67</f>
        <v xml:space="preserve">  Intangible Plant</v>
      </c>
      <c r="E77" s="131" t="str">
        <f>"(Worksheet A ln "&amp;'WS A - Rate Base Support'!A42&amp;"."&amp;'WS A - Rate Base Support'!G27 &amp;")"</f>
        <v>(Worksheet A ln 28.(f))</v>
      </c>
      <c r="F77" s="131"/>
      <c r="G77" s="144">
        <f>'WS A - Rate Base Support'!G42</f>
        <v>0</v>
      </c>
      <c r="H77" s="144"/>
      <c r="I77" s="145" t="s">
        <v>430</v>
      </c>
      <c r="J77" s="146">
        <f>L235</f>
        <v>0.97161951308616801</v>
      </c>
      <c r="K77" s="131"/>
      <c r="L77" s="1109">
        <f>+J77*G77</f>
        <v>0</v>
      </c>
      <c r="M77" s="131"/>
      <c r="N77" s="131"/>
    </row>
    <row r="78" spans="2:14">
      <c r="B78" s="132"/>
      <c r="C78" s="170"/>
      <c r="D78" s="128"/>
      <c r="E78" s="131"/>
      <c r="F78" s="131"/>
      <c r="G78" s="144"/>
      <c r="H78" s="144"/>
      <c r="I78" s="145"/>
      <c r="J78" s="146"/>
      <c r="K78" s="131"/>
      <c r="L78" s="225"/>
      <c r="M78" s="131"/>
      <c r="N78" s="131"/>
    </row>
    <row r="79" spans="2:14" ht="15.75" thickBot="1">
      <c r="B79" s="132"/>
      <c r="C79" s="170"/>
      <c r="D79" s="128"/>
      <c r="E79" s="131"/>
      <c r="F79" s="131"/>
      <c r="G79" s="175"/>
      <c r="H79" s="144"/>
      <c r="I79" s="145"/>
      <c r="J79" s="146"/>
      <c r="K79" s="131"/>
      <c r="L79" s="1110"/>
      <c r="M79" s="131"/>
      <c r="N79" s="131"/>
    </row>
    <row r="80" spans="2:14">
      <c r="B80" s="132">
        <f>+B77+1</f>
        <v>31</v>
      </c>
      <c r="C80" s="170"/>
      <c r="D80" s="128" t="s">
        <v>378</v>
      </c>
      <c r="E80" s="131" t="str">
        <f>"(Sum of Lines: "&amp;B73&amp;" to "&amp;B77&amp;")"</f>
        <v>(Sum of Lines: 26 to 30)</v>
      </c>
      <c r="F80" s="1104"/>
      <c r="G80" s="144">
        <f>SUM(G73:G79)</f>
        <v>739783880.89819443</v>
      </c>
      <c r="H80" s="144"/>
      <c r="I80" s="145"/>
      <c r="J80" s="131"/>
      <c r="K80" s="144"/>
      <c r="L80" s="144">
        <f>SUM(L73:L79)</f>
        <v>715649969.12458825</v>
      </c>
      <c r="M80" s="131"/>
      <c r="N80" s="131"/>
    </row>
    <row r="81" spans="2:14">
      <c r="B81" s="132"/>
      <c r="C81" s="133"/>
      <c r="E81" s="1111"/>
      <c r="F81" s="178"/>
      <c r="G81" s="144"/>
      <c r="H81" s="144"/>
      <c r="I81" s="145"/>
      <c r="J81" s="179"/>
      <c r="K81" s="131"/>
      <c r="L81" s="144"/>
      <c r="M81" s="131"/>
      <c r="N81" s="131"/>
    </row>
    <row r="82" spans="2:14">
      <c r="B82" s="132">
        <f>+B80+1</f>
        <v>32</v>
      </c>
      <c r="C82" s="133"/>
      <c r="D82" s="128" t="s">
        <v>382</v>
      </c>
      <c r="E82" s="145"/>
      <c r="F82" s="145"/>
      <c r="G82" s="144"/>
      <c r="H82" s="144"/>
      <c r="I82" s="145"/>
      <c r="J82" s="131"/>
      <c r="K82" s="131"/>
      <c r="L82" s="144"/>
      <c r="M82" s="131"/>
      <c r="N82" s="131"/>
    </row>
    <row r="83" spans="2:14">
      <c r="B83" s="180">
        <f>+B82+1</f>
        <v>33</v>
      </c>
      <c r="C83" s="170"/>
      <c r="D83" s="128" t="str">
        <f>+D73</f>
        <v xml:space="preserve">  Transmission</v>
      </c>
      <c r="E83" s="131" t="str">
        <f>" (ln "&amp;B63&amp;" + ln "&amp;B64&amp;" - ln "&amp;B73&amp;" - ln "&amp;B74&amp;")"</f>
        <v xml:space="preserve"> (ln 19 + ln 20 - ln 26 - ln 27)</v>
      </c>
      <c r="F83" s="131"/>
      <c r="G83" s="144">
        <f>+G63+G64-G73-G74</f>
        <v>3938421154.6023855</v>
      </c>
      <c r="H83" s="144"/>
      <c r="I83" s="145"/>
      <c r="J83" s="177"/>
      <c r="K83" s="131"/>
      <c r="L83" s="144">
        <f>+L63+L64-L73-L74</f>
        <v>3829785329.5857449</v>
      </c>
      <c r="M83" s="131"/>
      <c r="N83" s="131"/>
    </row>
    <row r="84" spans="2:14">
      <c r="B84" s="132">
        <f>+B83+1</f>
        <v>34</v>
      </c>
      <c r="C84" s="170"/>
      <c r="D84" s="128" t="str">
        <f>+D75</f>
        <v xml:space="preserve">  General Plant   </v>
      </c>
      <c r="E84" s="131" t="str">
        <f>" (ln "&amp;B65&amp;" + ln "&amp;B66&amp;" - ln "&amp;B75&amp;" - ln "&amp;B76&amp;")"</f>
        <v xml:space="preserve"> (ln 21 + ln 22 - ln 28 - ln 29)</v>
      </c>
      <c r="F84" s="131"/>
      <c r="G84" s="144">
        <f>+G65+G66-G75-G76</f>
        <v>72440231.942690849</v>
      </c>
      <c r="H84" s="144"/>
      <c r="I84" s="145"/>
      <c r="J84" s="179"/>
      <c r="K84" s="131"/>
      <c r="L84" s="144">
        <f>+L65+L66-L75-L76</f>
        <v>70384342.888006359</v>
      </c>
      <c r="M84" s="131"/>
      <c r="N84" s="131"/>
    </row>
    <row r="85" spans="2:14">
      <c r="B85" s="132">
        <f>+B84+1</f>
        <v>35</v>
      </c>
      <c r="C85" s="170"/>
      <c r="D85" s="128" t="str">
        <f>+D77</f>
        <v xml:space="preserve">  Intangible Plant</v>
      </c>
      <c r="E85" s="131" t="str">
        <f>" (ln "&amp;B67&amp;" - ln "&amp;B77&amp;")"</f>
        <v xml:space="preserve"> (ln 23 - ln 30)</v>
      </c>
      <c r="F85" s="131"/>
      <c r="G85" s="144">
        <f>+G67-G77</f>
        <v>0</v>
      </c>
      <c r="H85" s="144"/>
      <c r="I85" s="145"/>
      <c r="J85" s="179"/>
      <c r="K85" s="131"/>
      <c r="L85" s="144">
        <f>+L67-L77</f>
        <v>0</v>
      </c>
      <c r="M85" s="131"/>
      <c r="N85" s="131"/>
    </row>
    <row r="86" spans="2:14" ht="15.75" thickBot="1">
      <c r="B86" s="132"/>
      <c r="C86" s="170"/>
      <c r="D86" s="128"/>
      <c r="E86" s="131"/>
      <c r="F86" s="1099"/>
      <c r="G86" s="175"/>
      <c r="H86" s="144"/>
      <c r="I86" s="145"/>
      <c r="J86" s="179"/>
      <c r="K86" s="131"/>
      <c r="L86" s="175"/>
      <c r="M86" s="131"/>
      <c r="N86" s="131"/>
    </row>
    <row r="87" spans="2:14" ht="15.75">
      <c r="B87" s="132">
        <f>+B85+1</f>
        <v>36</v>
      </c>
      <c r="C87" s="170"/>
      <c r="D87" s="128" t="s">
        <v>377</v>
      </c>
      <c r="E87" s="131" t="str">
        <f>"(Sum of Lines: "&amp;B83&amp;" to "&amp;B85&amp;")"</f>
        <v>(Sum of Lines: 33 to 35)</v>
      </c>
      <c r="F87" s="131"/>
      <c r="G87" s="144">
        <f>SUM(G83:G86)</f>
        <v>4010861386.5450764</v>
      </c>
      <c r="H87" s="144"/>
      <c r="I87" s="181" t="s">
        <v>1003</v>
      </c>
      <c r="J87" s="1103">
        <f>IF(G87=0,0,+L87/G87)</f>
        <v>0.97240200959258927</v>
      </c>
      <c r="K87" s="131"/>
      <c r="L87" s="144">
        <f>SUM(L83:L86)</f>
        <v>3900169672.4737511</v>
      </c>
      <c r="M87" s="131"/>
      <c r="N87" s="131"/>
    </row>
    <row r="88" spans="2:14">
      <c r="B88" s="132"/>
      <c r="C88" s="133"/>
      <c r="D88" s="128"/>
      <c r="E88" s="131"/>
      <c r="F88" s="131"/>
      <c r="G88" s="144"/>
      <c r="H88" s="144"/>
      <c r="J88" s="182"/>
      <c r="K88" s="131"/>
      <c r="L88" s="144"/>
      <c r="M88" s="131"/>
      <c r="N88" s="131"/>
    </row>
    <row r="89" spans="2:14">
      <c r="B89" s="132"/>
      <c r="C89" s="133"/>
      <c r="G89" s="41"/>
      <c r="H89" s="41"/>
      <c r="I89" s="41"/>
      <c r="J89" s="41"/>
      <c r="K89" s="41"/>
      <c r="L89" s="41"/>
      <c r="M89" s="131"/>
      <c r="N89" s="131"/>
    </row>
    <row r="90" spans="2:14">
      <c r="B90" s="132">
        <f>+B87+1</f>
        <v>37</v>
      </c>
      <c r="C90" s="133"/>
      <c r="D90" s="128" t="s">
        <v>129</v>
      </c>
      <c r="E90" s="131" t="s">
        <v>106</v>
      </c>
      <c r="F90" s="145"/>
      <c r="G90" s="41"/>
      <c r="H90" s="41"/>
      <c r="I90" s="41"/>
      <c r="J90" s="41"/>
      <c r="K90" s="41"/>
      <c r="L90" s="41"/>
      <c r="M90" s="131"/>
      <c r="N90" s="131"/>
    </row>
    <row r="91" spans="2:14">
      <c r="B91" s="132">
        <f t="shared" ref="B91:B96" si="1">+B90+1</f>
        <v>38</v>
      </c>
      <c r="C91" s="170"/>
      <c r="D91" s="128" t="s">
        <v>483</v>
      </c>
      <c r="E91" s="131" t="str">
        <f>"(Worksheet B, ln "&amp;'WS B ADIT &amp; ITC'!A17&amp;" &amp; ln "&amp;'WS B ADIT &amp; ITC'!A20&amp;".E)"</f>
        <v>(Worksheet B, ln 2 &amp; ln 5.E)</v>
      </c>
      <c r="F91" s="131"/>
      <c r="G91" s="144">
        <f>'WS B ADIT &amp; ITC'!I17</f>
        <v>0</v>
      </c>
      <c r="H91" s="144"/>
      <c r="I91" s="145" t="s">
        <v>426</v>
      </c>
      <c r="J91" s="146"/>
      <c r="K91" s="131"/>
      <c r="L91" s="144">
        <f>'WS B ADIT &amp; ITC'!I20</f>
        <v>0</v>
      </c>
      <c r="M91" s="131"/>
      <c r="N91" s="131"/>
    </row>
    <row r="92" spans="2:14">
      <c r="B92" s="132">
        <f t="shared" si="1"/>
        <v>39</v>
      </c>
      <c r="C92" s="170"/>
      <c r="D92" s="128" t="s">
        <v>484</v>
      </c>
      <c r="E92" s="131" t="str">
        <f>"(Worksheet B, ln "&amp;'WS B ADIT &amp; ITC'!A25&amp;" &amp; ln "&amp;'WS B ADIT &amp; ITC'!A28&amp;".E)"</f>
        <v>(Worksheet B, ln 7 &amp; ln 10.E)</v>
      </c>
      <c r="F92" s="131"/>
      <c r="G92" s="144">
        <f>-'WS B ADIT &amp; ITC'!I25</f>
        <v>-393659704.28347182</v>
      </c>
      <c r="H92" s="144"/>
      <c r="I92" s="145" t="s">
        <v>428</v>
      </c>
      <c r="J92" s="146"/>
      <c r="K92" s="131"/>
      <c r="L92" s="144">
        <f>-'WS B ADIT &amp; ITC'!I28</f>
        <v>-375185777.78903425</v>
      </c>
      <c r="M92" s="131"/>
      <c r="N92" s="131"/>
    </row>
    <row r="93" spans="2:14">
      <c r="B93" s="132">
        <f t="shared" si="1"/>
        <v>40</v>
      </c>
      <c r="C93" s="170"/>
      <c r="D93" s="128" t="s">
        <v>485</v>
      </c>
      <c r="E93" s="131" t="str">
        <f>"(Worksheet B, ln "&amp;'WS B ADIT &amp; ITC'!A33&amp;" &amp; ln "&amp;'WS B ADIT &amp; ITC'!A36&amp;".E)"</f>
        <v>(Worksheet B, ln 12 &amp; ln 15.E)</v>
      </c>
      <c r="F93" s="131"/>
      <c r="G93" s="144">
        <f>-'WS B ADIT &amp; ITC'!I33</f>
        <v>-90036442.631899372</v>
      </c>
      <c r="H93" s="144"/>
      <c r="I93" s="145" t="s">
        <v>428</v>
      </c>
      <c r="J93" s="146"/>
      <c r="K93" s="131"/>
      <c r="L93" s="144">
        <f>-'WS B ADIT &amp; ITC'!I36</f>
        <v>-59675493.637666091</v>
      </c>
      <c r="M93" s="131"/>
      <c r="N93" s="131"/>
    </row>
    <row r="94" spans="2:14">
      <c r="B94" s="132">
        <f t="shared" si="1"/>
        <v>41</v>
      </c>
      <c r="C94" s="170"/>
      <c r="D94" s="128" t="s">
        <v>486</v>
      </c>
      <c r="E94" s="131" t="str">
        <f>"(Worksheet B, ln "&amp;'WS B ADIT &amp; ITC'!A41&amp;" &amp; ln "&amp;'WS B ADIT &amp; ITC'!A44&amp;".E)"</f>
        <v>(Worksheet B, ln 17 &amp; ln 20.E)</v>
      </c>
      <c r="F94" s="131"/>
      <c r="G94" s="144">
        <f>'WS B ADIT &amp; ITC'!I41</f>
        <v>29387220.912596371</v>
      </c>
      <c r="H94" s="144"/>
      <c r="I94" s="145" t="s">
        <v>428</v>
      </c>
      <c r="J94" s="146"/>
      <c r="K94" s="131"/>
      <c r="L94" s="144">
        <f>'WS B ADIT &amp; ITC'!I44</f>
        <v>15513011.152596373</v>
      </c>
      <c r="M94" s="131"/>
      <c r="N94" s="131"/>
    </row>
    <row r="95" spans="2:14" ht="15.75" thickBot="1">
      <c r="B95" s="132">
        <f t="shared" si="1"/>
        <v>42</v>
      </c>
      <c r="C95" s="170"/>
      <c r="D95" s="123" t="s">
        <v>432</v>
      </c>
      <c r="E95" s="131" t="str">
        <f>"(Worksheet B, ln "&amp;'WS B ADIT &amp; ITC'!A51&amp;" &amp; ln "&amp;'WS B ADIT &amp; ITC'!A52&amp;".E)"</f>
        <v>(Worksheet B, ln 24 &amp; ln 25.E)</v>
      </c>
      <c r="G95" s="175">
        <f>-'WS B ADIT &amp; ITC'!I51</f>
        <v>0</v>
      </c>
      <c r="H95" s="144"/>
      <c r="I95" s="145" t="s">
        <v>428</v>
      </c>
      <c r="J95" s="146"/>
      <c r="K95" s="131"/>
      <c r="L95" s="175">
        <f>-'WS B ADIT &amp; ITC'!I52</f>
        <v>0</v>
      </c>
      <c r="M95" s="131"/>
      <c r="N95" s="131"/>
    </row>
    <row r="96" spans="2:14">
      <c r="B96" s="132">
        <f t="shared" si="1"/>
        <v>43</v>
      </c>
      <c r="C96" s="170"/>
      <c r="D96" s="128" t="s">
        <v>391</v>
      </c>
      <c r="E96" s="128" t="str">
        <f>"(sum lns "&amp;B91&amp;" to "&amp;B95&amp;")"</f>
        <v>(sum lns 38 to 42)</v>
      </c>
      <c r="F96" s="131"/>
      <c r="G96" s="144">
        <f>SUM(G91:G95)</f>
        <v>-454308926.00277483</v>
      </c>
      <c r="H96" s="41"/>
      <c r="I96" s="145"/>
      <c r="J96" s="154"/>
      <c r="K96" s="131"/>
      <c r="L96" s="144">
        <f>SUM(L91:L95)</f>
        <v>-419348260.274104</v>
      </c>
      <c r="M96" s="183"/>
    </row>
    <row r="97" spans="2:12">
      <c r="B97" s="132"/>
      <c r="C97" s="133"/>
      <c r="D97" s="128"/>
      <c r="E97" s="131"/>
      <c r="F97" s="131"/>
      <c r="G97" s="144"/>
      <c r="H97" s="41"/>
      <c r="I97" s="145"/>
      <c r="J97" s="179"/>
      <c r="K97" s="131"/>
      <c r="L97" s="144"/>
    </row>
    <row r="98" spans="2:12">
      <c r="B98" s="132">
        <f>+B96+1</f>
        <v>44</v>
      </c>
      <c r="C98" s="133"/>
      <c r="D98" s="128" t="s">
        <v>495</v>
      </c>
      <c r="E98" s="131" t="str">
        <f>"(Worksheet A ln "&amp;'WS A - Rate Base Support'!A69&amp;"."&amp;'WS A - Rate Base Support'!F68 &amp;")"&amp;" ln "&amp;'WS A - Rate Base Support'!A71&amp;"."&amp;'WS A - Rate Base Support'!F68 &amp;")"</f>
        <v>(Worksheet A ln 44.(e)) ln 45.(e))</v>
      </c>
      <c r="F98" s="131"/>
      <c r="G98" s="144">
        <f>'WS A - Rate Base Support'!F69</f>
        <v>0</v>
      </c>
      <c r="H98" s="41"/>
      <c r="I98" s="145" t="s">
        <v>428</v>
      </c>
      <c r="J98" s="146"/>
      <c r="K98" s="131"/>
      <c r="L98" s="144">
        <f>'WS A - Rate Base Support'!F71</f>
        <v>0</v>
      </c>
    </row>
    <row r="99" spans="2:12">
      <c r="B99" s="132"/>
      <c r="C99" s="133"/>
      <c r="D99" s="128"/>
      <c r="E99" s="131"/>
      <c r="F99" s="131"/>
      <c r="G99" s="144"/>
      <c r="H99" s="41"/>
      <c r="I99" s="145"/>
      <c r="J99" s="146"/>
      <c r="K99" s="131"/>
      <c r="L99" s="144"/>
    </row>
    <row r="100" spans="2:12">
      <c r="B100" s="132">
        <f>+B98+1</f>
        <v>45</v>
      </c>
      <c r="C100" s="133"/>
      <c r="D100" s="128" t="s">
        <v>130</v>
      </c>
      <c r="E100" s="131" t="str">
        <f>"(Worksheet A ln "&amp;'WS A - Rate Base Support'!A80&amp;"."&amp;'WS A - Rate Base Support'!F68 &amp;")"</f>
        <v>(Worksheet A ln 51.(e))</v>
      </c>
      <c r="F100" s="131"/>
      <c r="G100" s="144">
        <f>'WS A - Rate Base Support'!F80</f>
        <v>0</v>
      </c>
      <c r="H100" s="41"/>
      <c r="I100" s="145" t="s">
        <v>428</v>
      </c>
      <c r="J100" s="131"/>
      <c r="K100" s="131"/>
      <c r="L100" s="144">
        <f>+G100</f>
        <v>0</v>
      </c>
    </row>
    <row r="101" spans="2:12">
      <c r="B101" s="132"/>
      <c r="C101" s="133"/>
      <c r="D101" s="128"/>
      <c r="E101" s="131"/>
      <c r="F101" s="131"/>
      <c r="G101" s="144"/>
      <c r="H101" s="41"/>
      <c r="I101" s="145"/>
      <c r="J101" s="131"/>
      <c r="K101" s="131"/>
      <c r="L101" s="144"/>
    </row>
    <row r="102" spans="2:12">
      <c r="B102" s="132">
        <f>B100+1</f>
        <v>46</v>
      </c>
      <c r="C102" s="170"/>
      <c r="D102" s="140" t="s">
        <v>637</v>
      </c>
      <c r="E102" s="131" t="s">
        <v>638</v>
      </c>
      <c r="F102" s="131"/>
      <c r="G102" s="144">
        <f>'WS A - Rate Base Support'!F87</f>
        <v>0</v>
      </c>
      <c r="H102" s="144"/>
      <c r="I102" s="145" t="s">
        <v>430</v>
      </c>
      <c r="J102" s="146">
        <f>L235</f>
        <v>0.97161951308616801</v>
      </c>
      <c r="K102" s="131"/>
      <c r="L102" s="144">
        <f>+J102*G102</f>
        <v>0</v>
      </c>
    </row>
    <row r="103" spans="2:12">
      <c r="B103" s="132"/>
      <c r="C103" s="133"/>
      <c r="D103" s="128"/>
      <c r="E103" s="131"/>
      <c r="F103" s="131"/>
      <c r="G103" s="144"/>
      <c r="H103" s="41"/>
      <c r="I103" s="145"/>
      <c r="J103" s="131"/>
      <c r="K103" s="131"/>
      <c r="L103" s="144"/>
    </row>
    <row r="104" spans="2:12">
      <c r="B104" s="132">
        <f>+B102+1</f>
        <v>47</v>
      </c>
      <c r="C104" s="133"/>
      <c r="D104" s="128" t="s">
        <v>392</v>
      </c>
      <c r="E104" s="131" t="s">
        <v>294</v>
      </c>
      <c r="F104" s="131"/>
      <c r="G104" s="144"/>
      <c r="H104" s="41"/>
      <c r="I104" s="145"/>
      <c r="J104" s="131"/>
      <c r="K104" s="131"/>
      <c r="L104" s="144"/>
    </row>
    <row r="105" spans="2:12">
      <c r="B105" s="132">
        <f t="shared" ref="B105:B114" si="2">+B104+1</f>
        <v>48</v>
      </c>
      <c r="C105" s="170"/>
      <c r="D105" s="128" t="s">
        <v>494</v>
      </c>
      <c r="E105" s="123" t="str">
        <f>"(1/8 * ln "&amp;B140&amp;")"</f>
        <v>(1/8 * ln 66)</v>
      </c>
      <c r="G105" s="144">
        <f>+G140/8</f>
        <v>4602091.9160351763</v>
      </c>
      <c r="H105" s="131"/>
      <c r="I105" s="145"/>
      <c r="J105" s="179"/>
      <c r="K105" s="131"/>
      <c r="L105" s="144">
        <f>+L140/8</f>
        <v>4471482.3066358883</v>
      </c>
    </row>
    <row r="106" spans="2:12">
      <c r="B106" s="132">
        <f t="shared" si="2"/>
        <v>49</v>
      </c>
      <c r="C106" s="170"/>
      <c r="D106" s="128" t="s">
        <v>137</v>
      </c>
      <c r="E106" s="131" t="str">
        <f>"(Worksheet C, ln "&amp;'WS C  - Working Capital'!A17&amp;".(F))"</f>
        <v>(Worksheet C, ln 2.(F))</v>
      </c>
      <c r="F106" s="131"/>
      <c r="G106" s="144">
        <f>'WS C  - Working Capital'!I17</f>
        <v>0</v>
      </c>
      <c r="H106" s="41"/>
      <c r="I106" s="145" t="s">
        <v>420</v>
      </c>
      <c r="J106" s="146">
        <f>J140</f>
        <v>0.97161951308616801</v>
      </c>
      <c r="K106" s="131"/>
      <c r="L106" s="144">
        <f>+J106*G106</f>
        <v>0</v>
      </c>
    </row>
    <row r="107" spans="2:12">
      <c r="B107" s="132"/>
      <c r="C107" s="170"/>
      <c r="D107" s="128"/>
      <c r="E107" s="131"/>
      <c r="F107" s="131"/>
      <c r="G107" s="144"/>
      <c r="H107" s="98"/>
      <c r="I107" s="145"/>
      <c r="J107" s="146"/>
      <c r="K107" s="131"/>
      <c r="L107" s="144"/>
    </row>
    <row r="108" spans="2:12">
      <c r="B108" s="132">
        <f>+B106+1</f>
        <v>50</v>
      </c>
      <c r="C108" s="170"/>
      <c r="D108" s="128" t="s">
        <v>138</v>
      </c>
      <c r="E108" s="131" t="str">
        <f>"(Worksheet C, ln "&amp;'WS C  - Working Capital'!A21&amp;".(F))"</f>
        <v>(Worksheet C, ln 3.(F))</v>
      </c>
      <c r="F108" s="131"/>
      <c r="G108" s="144">
        <f>'WS C  - Working Capital'!I21</f>
        <v>0</v>
      </c>
      <c r="H108" s="98"/>
      <c r="I108" s="145" t="s">
        <v>430</v>
      </c>
      <c r="J108" s="146">
        <f>L235</f>
        <v>0.97161951308616801</v>
      </c>
      <c r="K108" s="131"/>
      <c r="L108" s="144">
        <f>+J108*G108</f>
        <v>0</v>
      </c>
    </row>
    <row r="109" spans="2:12">
      <c r="B109" s="132">
        <f t="shared" si="2"/>
        <v>51</v>
      </c>
      <c r="C109" s="170"/>
      <c r="D109" s="128" t="s">
        <v>326</v>
      </c>
      <c r="E109" s="131" t="str">
        <f>"(Worksheet C, ln "&amp;'WS C  - Working Capital'!A23&amp;".(F))"</f>
        <v>(Worksheet C, ln 4.(F))</v>
      </c>
      <c r="F109" s="131"/>
      <c r="G109" s="144">
        <f>'WS C  - Working Capital'!I23</f>
        <v>0</v>
      </c>
      <c r="H109" s="41"/>
      <c r="I109" s="145" t="s">
        <v>757</v>
      </c>
      <c r="J109" s="146">
        <f>J70</f>
        <v>0.97161951308616801</v>
      </c>
      <c r="K109" s="131"/>
      <c r="L109" s="144">
        <f>+J109*G109</f>
        <v>0</v>
      </c>
    </row>
    <row r="110" spans="2:12">
      <c r="B110" s="132">
        <f t="shared" si="2"/>
        <v>52</v>
      </c>
      <c r="C110" s="170"/>
      <c r="D110" s="128" t="s">
        <v>498</v>
      </c>
      <c r="E110" s="131" t="str">
        <f>"(Worksheet C, ln "&amp;'WS C  - Working Capital'!A33&amp;".(G))"</f>
        <v>(Worksheet C, ln 8.(G))</v>
      </c>
      <c r="F110" s="131"/>
      <c r="G110" s="144">
        <f>'WS C  - Working Capital'!J33</f>
        <v>0</v>
      </c>
      <c r="H110" s="41"/>
      <c r="I110" s="145" t="s">
        <v>430</v>
      </c>
      <c r="J110" s="146">
        <f>L235</f>
        <v>0.97161951308616801</v>
      </c>
      <c r="K110" s="131"/>
      <c r="L110" s="144">
        <f>+J110*G110</f>
        <v>0</v>
      </c>
    </row>
    <row r="111" spans="2:12">
      <c r="B111" s="132">
        <f t="shared" si="2"/>
        <v>53</v>
      </c>
      <c r="C111" s="170"/>
      <c r="D111" s="128" t="s">
        <v>499</v>
      </c>
      <c r="E111" s="131" t="str">
        <f>"(Worksheet C, ln "&amp;'WS C  - Working Capital'!A33&amp;".(F))"</f>
        <v>(Worksheet C, ln 8.(F))</v>
      </c>
      <c r="F111" s="131"/>
      <c r="G111" s="144">
        <f>'WS C  - Working Capital'!I33</f>
        <v>1006917</v>
      </c>
      <c r="H111" s="41"/>
      <c r="I111" s="145" t="s">
        <v>757</v>
      </c>
      <c r="J111" s="146">
        <f>J70</f>
        <v>0.97161951308616801</v>
      </c>
      <c r="K111" s="131"/>
      <c r="L111" s="144">
        <f>+G111*J111</f>
        <v>978340.20525818504</v>
      </c>
    </row>
    <row r="112" spans="2:12">
      <c r="B112" s="132">
        <f t="shared" si="2"/>
        <v>54</v>
      </c>
      <c r="C112" s="170"/>
      <c r="D112" s="128" t="s">
        <v>109</v>
      </c>
      <c r="E112" s="131" t="str">
        <f>"(Worksheet C, ln "&amp;'WS C  - Working Capital'!A33&amp;".(E))"</f>
        <v>(Worksheet C, ln 8.(E))</v>
      </c>
      <c r="F112" s="131"/>
      <c r="G112" s="144">
        <f>'WS C  - Working Capital'!G33</f>
        <v>0</v>
      </c>
      <c r="H112" s="41"/>
      <c r="I112" s="145" t="s">
        <v>428</v>
      </c>
      <c r="J112" s="146">
        <v>1</v>
      </c>
      <c r="K112" s="131"/>
      <c r="L112" s="144">
        <f>+G112</f>
        <v>0</v>
      </c>
    </row>
    <row r="113" spans="2:14" ht="15.75" thickBot="1">
      <c r="B113" s="132">
        <f t="shared" si="2"/>
        <v>55</v>
      </c>
      <c r="C113" s="170"/>
      <c r="D113" s="128" t="s">
        <v>404</v>
      </c>
      <c r="E113" s="131" t="str">
        <f>"(Worksheet C, ln "&amp;'WS C  - Working Capital'!A33&amp;".(D))"</f>
        <v>(Worksheet C, ln 8.(D))</v>
      </c>
      <c r="F113" s="131"/>
      <c r="G113" s="175">
        <f>'WS C  - Working Capital'!E33</f>
        <v>0</v>
      </c>
      <c r="H113" s="144"/>
      <c r="I113" s="145" t="s">
        <v>426</v>
      </c>
      <c r="J113" s="146">
        <v>0</v>
      </c>
      <c r="K113" s="131"/>
      <c r="L113" s="175">
        <f>+G113*J113</f>
        <v>0</v>
      </c>
    </row>
    <row r="114" spans="2:14">
      <c r="B114" s="132">
        <f t="shared" si="2"/>
        <v>56</v>
      </c>
      <c r="C114" s="170"/>
      <c r="D114" s="128" t="s">
        <v>376</v>
      </c>
      <c r="E114" s="128" t="str">
        <f>"(sum lns "&amp;B105&amp;" to "&amp;B113&amp;")"</f>
        <v>(sum lns 48 to 55)</v>
      </c>
      <c r="F114" s="128"/>
      <c r="G114" s="144">
        <f>SUM(G105:G113)</f>
        <v>5609008.9160351763</v>
      </c>
      <c r="H114" s="128"/>
      <c r="I114" s="133"/>
      <c r="J114" s="128"/>
      <c r="K114" s="128"/>
      <c r="L114" s="144">
        <f>SUM(L105:L113)</f>
        <v>5449822.5118940733</v>
      </c>
    </row>
    <row r="115" spans="2:14">
      <c r="B115" s="132"/>
      <c r="C115" s="133"/>
      <c r="D115" s="128"/>
      <c r="E115" s="128"/>
      <c r="F115" s="128"/>
      <c r="G115" s="144"/>
      <c r="H115" s="128"/>
      <c r="I115" s="133"/>
      <c r="J115" s="128"/>
      <c r="K115" s="128"/>
      <c r="L115" s="144"/>
    </row>
    <row r="116" spans="2:14">
      <c r="B116" s="132">
        <f>+B114+1</f>
        <v>57</v>
      </c>
      <c r="C116" s="133"/>
      <c r="D116" s="128" t="s">
        <v>364</v>
      </c>
      <c r="E116" s="128" t="str">
        <f>"(Note F) (Worksheet D, ln "&amp;'WS D IPP Credits'!A23&amp;".B)"</f>
        <v>(Note F) (Worksheet D, ln 8.B)</v>
      </c>
      <c r="F116" s="128"/>
      <c r="G116" s="144">
        <f>+'WS D IPP Credits'!C21</f>
        <v>0</v>
      </c>
      <c r="H116" s="128"/>
      <c r="I116" s="184" t="s">
        <v>428</v>
      </c>
      <c r="J116" s="146">
        <v>1</v>
      </c>
      <c r="K116" s="131"/>
      <c r="L116" s="144">
        <f>+J116*G116</f>
        <v>0</v>
      </c>
    </row>
    <row r="117" spans="2:14" ht="15.75" thickBot="1">
      <c r="B117" s="132"/>
      <c r="E117" s="131"/>
      <c r="F117" s="131"/>
      <c r="G117" s="175"/>
      <c r="H117" s="131"/>
      <c r="I117" s="145"/>
      <c r="J117" s="131"/>
      <c r="K117" s="131"/>
      <c r="L117" s="175"/>
    </row>
    <row r="118" spans="2:14" ht="15.75" thickBot="1">
      <c r="B118" s="132">
        <f>+B116+1</f>
        <v>58</v>
      </c>
      <c r="C118" s="133"/>
      <c r="D118" s="128" t="str">
        <f>"RATE BASE  (sum lns "&amp;B87&amp;", "&amp;B96&amp;", "&amp;B98&amp;", "&amp;B100&amp;", "&amp;B102&amp;", "&amp;B114&amp;", "&amp;B116&amp;")"</f>
        <v>RATE BASE  (sum lns 36, 43, 44, 45, 46, 56, 57)</v>
      </c>
      <c r="E118" s="131"/>
      <c r="F118" s="131"/>
      <c r="G118" s="185">
        <f>+G114+G98+G96+G87+G116+G100+G102</f>
        <v>3562161469.4583368</v>
      </c>
      <c r="H118" s="131"/>
      <c r="I118" s="131"/>
      <c r="J118" s="179"/>
      <c r="K118" s="131"/>
      <c r="L118" s="185">
        <f>+L114+L98+L96+L87+L116+L100+L102</f>
        <v>3486271234.7115412</v>
      </c>
    </row>
    <row r="119" spans="2:14" ht="16.5" thickTop="1">
      <c r="B119" s="132"/>
      <c r="C119" s="41"/>
      <c r="D119" s="41"/>
      <c r="E119" s="41"/>
      <c r="F119" s="41"/>
      <c r="G119" s="41"/>
      <c r="H119" s="41"/>
      <c r="I119" s="126"/>
      <c r="J119" s="126"/>
      <c r="K119" s="126"/>
    </row>
    <row r="120" spans="2:14">
      <c r="B120" s="186"/>
      <c r="C120" s="133"/>
      <c r="D120" s="128"/>
      <c r="E120" s="131"/>
      <c r="F120" s="131"/>
      <c r="G120" s="131"/>
      <c r="H120" s="131"/>
      <c r="I120" s="131"/>
      <c r="J120" s="131"/>
      <c r="K120" s="131"/>
      <c r="L120" s="131"/>
    </row>
    <row r="121" spans="2:14">
      <c r="B121" s="186"/>
      <c r="C121" s="133"/>
      <c r="D121" s="128"/>
      <c r="E121" s="131"/>
      <c r="F121" s="145" t="str">
        <f>F51</f>
        <v>AEPTCo subsidiaries in PJM</v>
      </c>
      <c r="G121" s="145"/>
      <c r="H121" s="131"/>
      <c r="I121" s="131"/>
      <c r="J121" s="131"/>
      <c r="K121" s="131"/>
      <c r="L121" s="131"/>
    </row>
    <row r="122" spans="2:14">
      <c r="B122" s="186"/>
      <c r="C122" s="133"/>
      <c r="D122" s="128"/>
      <c r="E122" s="131"/>
      <c r="F122" s="145" t="str">
        <f>F52</f>
        <v>Transmission Cost of Service Formula Rate</v>
      </c>
      <c r="G122" s="145"/>
      <c r="H122" s="131"/>
      <c r="I122" s="131"/>
      <c r="J122" s="131"/>
      <c r="K122" s="131"/>
      <c r="L122" s="131"/>
    </row>
    <row r="123" spans="2:14">
      <c r="B123" s="186"/>
      <c r="C123" s="133"/>
      <c r="E123" s="131"/>
      <c r="F123" s="145" t="str">
        <f>F53</f>
        <v>Utilizing  Actual/Projected FERC Form 1 Data</v>
      </c>
      <c r="G123" s="131"/>
      <c r="H123" s="131"/>
      <c r="I123" s="131"/>
      <c r="J123" s="131"/>
      <c r="K123" s="131"/>
      <c r="L123" s="131"/>
    </row>
    <row r="124" spans="2:14">
      <c r="B124" s="186"/>
      <c r="C124" s="133"/>
      <c r="E124" s="131"/>
      <c r="F124" s="145"/>
      <c r="G124" s="131"/>
      <c r="H124" s="131"/>
      <c r="I124" s="131"/>
      <c r="J124" s="131"/>
      <c r="K124" s="131"/>
      <c r="L124" s="131"/>
    </row>
    <row r="125" spans="2:14">
      <c r="B125" s="186"/>
      <c r="C125" s="133"/>
      <c r="E125" s="187"/>
      <c r="F125" s="145" t="str">
        <f>F55</f>
        <v>AEP Indiana Michigan Transmission Company</v>
      </c>
      <c r="G125" s="187"/>
      <c r="H125" s="187"/>
      <c r="I125" s="187"/>
      <c r="J125" s="187"/>
      <c r="K125" s="187"/>
    </row>
    <row r="126" spans="2:14">
      <c r="B126" s="186"/>
      <c r="C126" s="133"/>
      <c r="E126" s="187"/>
      <c r="F126" s="145"/>
      <c r="G126" s="187"/>
      <c r="H126" s="187"/>
      <c r="I126" s="187"/>
      <c r="J126" s="187"/>
      <c r="K126" s="187"/>
    </row>
    <row r="127" spans="2:14">
      <c r="B127" s="186"/>
      <c r="D127" s="133" t="s">
        <v>421</v>
      </c>
      <c r="E127" s="133" t="s">
        <v>422</v>
      </c>
      <c r="F127" s="133"/>
      <c r="G127" s="133" t="s">
        <v>423</v>
      </c>
      <c r="H127" s="131"/>
      <c r="I127" s="1118" t="s">
        <v>424</v>
      </c>
      <c r="J127" s="1122"/>
      <c r="K127" s="131"/>
      <c r="L127" s="134" t="s">
        <v>425</v>
      </c>
      <c r="M127" s="134"/>
    </row>
    <row r="128" spans="2:14" ht="15.75">
      <c r="B128" s="186"/>
      <c r="D128" s="133"/>
      <c r="E128" s="133"/>
      <c r="F128" s="133"/>
      <c r="G128" s="133"/>
      <c r="H128" s="131"/>
      <c r="I128" s="131"/>
      <c r="J128" s="160"/>
      <c r="K128" s="131"/>
      <c r="M128" s="188"/>
      <c r="N128" s="126"/>
    </row>
    <row r="129" spans="2:14" ht="15.75">
      <c r="B129" s="186"/>
      <c r="C129" s="133"/>
      <c r="D129" s="188" t="s">
        <v>400</v>
      </c>
      <c r="E129" s="162" t="str">
        <f>E59</f>
        <v>Data Sources</v>
      </c>
      <c r="F129" s="163"/>
      <c r="G129" s="131"/>
      <c r="H129" s="131"/>
      <c r="I129" s="131"/>
      <c r="J129" s="133"/>
      <c r="K129" s="131"/>
      <c r="L129" s="162" t="str">
        <f>L59</f>
        <v>Total</v>
      </c>
      <c r="M129" s="188"/>
      <c r="N129" s="126"/>
    </row>
    <row r="130" spans="2:14" ht="15.75">
      <c r="B130" s="186"/>
      <c r="C130" s="133"/>
      <c r="D130" s="165" t="s">
        <v>401</v>
      </c>
      <c r="E130" s="189" t="str">
        <f>E60</f>
        <v>(See "General Notes")</v>
      </c>
      <c r="F130" s="131"/>
      <c r="G130" s="189" t="str">
        <f>G60</f>
        <v>TO Total</v>
      </c>
      <c r="H130" s="167"/>
      <c r="I130" s="1120" t="str">
        <f>I60</f>
        <v>Allocator</v>
      </c>
      <c r="J130" s="1121"/>
      <c r="K130" s="167"/>
      <c r="L130" s="189" t="str">
        <f>L60</f>
        <v>Transmission</v>
      </c>
      <c r="M130" s="188"/>
      <c r="N130" s="126"/>
    </row>
    <row r="131" spans="2:14" ht="15.75">
      <c r="B131" s="132" t="str">
        <f>B61</f>
        <v>Line</v>
      </c>
      <c r="D131" s="128"/>
      <c r="E131" s="131"/>
      <c r="F131" s="131"/>
      <c r="G131" s="165"/>
      <c r="H131" s="190"/>
      <c r="I131" s="188"/>
      <c r="K131" s="190"/>
      <c r="L131" s="165"/>
    </row>
    <row r="132" spans="2:14">
      <c r="B132" s="132" t="str">
        <f>B62</f>
        <v>No.</v>
      </c>
      <c r="C132" s="133"/>
      <c r="D132" s="128" t="s">
        <v>402</v>
      </c>
      <c r="E132" s="131"/>
      <c r="F132" s="131"/>
      <c r="G132" s="131"/>
      <c r="H132" s="131"/>
      <c r="I132" s="145"/>
      <c r="J132" s="131"/>
      <c r="K132" s="131"/>
      <c r="L132" s="131"/>
    </row>
    <row r="133" spans="2:14">
      <c r="B133" s="132">
        <f>+B118+1</f>
        <v>59</v>
      </c>
      <c r="C133" s="133"/>
      <c r="D133" s="128" t="s">
        <v>32</v>
      </c>
      <c r="E133" s="131" t="s">
        <v>492</v>
      </c>
      <c r="F133" s="131"/>
      <c r="G133" s="114">
        <v>0</v>
      </c>
      <c r="H133" s="131"/>
      <c r="I133" s="145"/>
      <c r="J133" s="146"/>
      <c r="K133" s="131"/>
      <c r="L133" s="144"/>
    </row>
    <row r="134" spans="2:14">
      <c r="B134" s="132">
        <f t="shared" ref="B134:B140" si="3">+B133+1</f>
        <v>60</v>
      </c>
      <c r="C134" s="133"/>
      <c r="D134" s="128" t="s">
        <v>45</v>
      </c>
      <c r="E134" s="131" t="s">
        <v>206</v>
      </c>
      <c r="F134" s="131"/>
      <c r="G134" s="112">
        <v>0</v>
      </c>
      <c r="H134" s="131"/>
      <c r="I134" s="145"/>
      <c r="J134" s="146"/>
      <c r="K134" s="131"/>
      <c r="L134" s="144"/>
    </row>
    <row r="135" spans="2:14" ht="15.75" thickBot="1">
      <c r="B135" s="132">
        <f t="shared" si="3"/>
        <v>61</v>
      </c>
      <c r="C135" s="133"/>
      <c r="D135" s="128" t="s">
        <v>433</v>
      </c>
      <c r="E135" s="131" t="s">
        <v>205</v>
      </c>
      <c r="F135" s="131"/>
      <c r="G135" s="110">
        <v>37834522.975504145</v>
      </c>
      <c r="H135" s="191"/>
      <c r="I135" s="41"/>
      <c r="J135" s="41"/>
      <c r="K135"/>
      <c r="L135"/>
      <c r="M135" s="131"/>
      <c r="N135" s="131"/>
    </row>
    <row r="136" spans="2:14">
      <c r="B136" s="132">
        <f t="shared" si="3"/>
        <v>62</v>
      </c>
      <c r="C136" s="133"/>
      <c r="D136" s="128" t="s">
        <v>46</v>
      </c>
      <c r="E136" s="131" t="str">
        <f>"(sum lns "&amp;B133&amp;"  to "&amp;B135&amp;")"</f>
        <v>(sum lns 59  to 61)</v>
      </c>
      <c r="F136" s="131"/>
      <c r="G136" s="144">
        <f>SUM(G133:G135)</f>
        <v>37834522.975504145</v>
      </c>
      <c r="H136" s="144"/>
      <c r="I136" s="41"/>
      <c r="J136" s="41"/>
      <c r="K136"/>
      <c r="L136"/>
      <c r="M136" s="131"/>
      <c r="N136" s="131"/>
    </row>
    <row r="137" spans="2:14">
      <c r="B137" s="132">
        <f t="shared" si="3"/>
        <v>63</v>
      </c>
      <c r="C137" s="133"/>
      <c r="D137" s="128" t="s">
        <v>131</v>
      </c>
      <c r="E137" s="131" t="str">
        <f>"(Note G) (Worksheet F, ln "&amp;'WS F Misc Exp'!A33&amp;".C)"</f>
        <v>(Note G) (Worksheet F, ln 14.C)</v>
      </c>
      <c r="F137" s="131"/>
      <c r="G137" s="144">
        <f>+'WS F Misc Exp'!D33</f>
        <v>1017787.6472227322</v>
      </c>
      <c r="H137" s="144"/>
      <c r="I137" s="41"/>
      <c r="J137" s="41"/>
      <c r="K137"/>
      <c r="L137"/>
      <c r="M137" s="131"/>
      <c r="N137" s="131"/>
    </row>
    <row r="138" spans="2:14">
      <c r="B138" s="132">
        <f t="shared" si="3"/>
        <v>64</v>
      </c>
      <c r="C138" s="133"/>
      <c r="D138" s="128" t="s">
        <v>360</v>
      </c>
      <c r="E138" s="131" t="s">
        <v>399</v>
      </c>
      <c r="F138" s="131"/>
      <c r="G138" s="114">
        <v>0</v>
      </c>
      <c r="H138" s="144"/>
      <c r="I138" s="41"/>
      <c r="J138" s="41"/>
      <c r="K138"/>
      <c r="L138"/>
      <c r="M138" s="131"/>
      <c r="N138" s="131"/>
    </row>
    <row r="139" spans="2:14" ht="15.75" thickBot="1">
      <c r="B139" s="132">
        <f t="shared" si="3"/>
        <v>65</v>
      </c>
      <c r="C139" s="133"/>
      <c r="D139" s="128" t="s">
        <v>135</v>
      </c>
      <c r="E139" s="131" t="str">
        <f>"(Note I) (Worksheet F, ln "&amp;'WS F Misc Exp'!A21&amp;".C)"</f>
        <v>(Note I) (Worksheet F, ln 4.C)</v>
      </c>
      <c r="F139" s="131"/>
      <c r="G139" s="175">
        <f>+'WS F Misc Exp'!D21</f>
        <v>0</v>
      </c>
      <c r="H139" s="144"/>
      <c r="I139" s="41"/>
      <c r="J139" s="41"/>
      <c r="K139"/>
      <c r="L139"/>
      <c r="M139" s="131"/>
      <c r="N139" s="131"/>
    </row>
    <row r="140" spans="2:14">
      <c r="B140" s="132">
        <f t="shared" si="3"/>
        <v>66</v>
      </c>
      <c r="C140" s="133"/>
      <c r="D140" s="128" t="s">
        <v>202</v>
      </c>
      <c r="E140" s="131" t="str">
        <f>"(lns "&amp;B135&amp;" - "&amp;B137&amp;" - "&amp;B138&amp;" - "&amp;B139&amp;")"</f>
        <v>(lns 61 - 63 - 64 - 65)</v>
      </c>
      <c r="F140" s="128"/>
      <c r="G140" s="144">
        <f>G135-G137-G138-G139</f>
        <v>36816735.32828141</v>
      </c>
      <c r="H140" s="131"/>
      <c r="I140" s="145" t="s">
        <v>420</v>
      </c>
      <c r="J140" s="146">
        <f>L217</f>
        <v>0.97161951308616801</v>
      </c>
      <c r="K140" s="131"/>
      <c r="L140" s="144">
        <f>+J140*G140</f>
        <v>35771858.453087106</v>
      </c>
      <c r="M140" s="131"/>
      <c r="N140" s="131"/>
    </row>
    <row r="141" spans="2:14">
      <c r="B141" s="132"/>
      <c r="C141" s="133"/>
      <c r="D141" s="128"/>
      <c r="E141" s="131"/>
      <c r="F141" s="131"/>
      <c r="G141" s="41"/>
      <c r="H141" s="144"/>
      <c r="I141" s="41"/>
      <c r="J141" s="41"/>
      <c r="K141"/>
      <c r="L141"/>
      <c r="M141" s="131"/>
      <c r="N141" s="131"/>
    </row>
    <row r="142" spans="2:14">
      <c r="B142" s="132">
        <f>+B140+1</f>
        <v>67</v>
      </c>
      <c r="C142" s="133"/>
      <c r="D142" s="128" t="s">
        <v>403</v>
      </c>
      <c r="E142" s="131" t="s">
        <v>756</v>
      </c>
      <c r="F142" s="131"/>
      <c r="G142" s="114">
        <v>13332019.725892466</v>
      </c>
      <c r="H142" s="191" t="s">
        <v>414</v>
      </c>
      <c r="I142" s="177"/>
      <c r="J142" s="177"/>
      <c r="K142" s="131"/>
      <c r="L142" s="144"/>
      <c r="M142" s="131"/>
      <c r="N142" s="131"/>
    </row>
    <row r="143" spans="2:14">
      <c r="B143" s="132">
        <f t="shared" ref="B143:B149" si="4">+B142+1</f>
        <v>68</v>
      </c>
      <c r="C143" s="133"/>
      <c r="D143" s="128" t="s">
        <v>133</v>
      </c>
      <c r="E143" s="131" t="s">
        <v>207</v>
      </c>
      <c r="F143" s="131"/>
      <c r="G143" s="114">
        <v>1346842.9140820291</v>
      </c>
      <c r="H143" s="144"/>
      <c r="I143" s="177"/>
      <c r="J143" s="128"/>
      <c r="K143" s="131"/>
      <c r="L143" s="144"/>
      <c r="M143" s="131"/>
      <c r="N143" s="131"/>
    </row>
    <row r="144" spans="2:14">
      <c r="B144" s="132">
        <f t="shared" si="4"/>
        <v>69</v>
      </c>
      <c r="C144" s="133"/>
      <c r="D144" s="128" t="s">
        <v>132</v>
      </c>
      <c r="E144" s="131" t="s">
        <v>395</v>
      </c>
      <c r="F144" s="131"/>
      <c r="G144" s="114">
        <f>'WS F Misc Exp'!D44</f>
        <v>1662.3059410638934</v>
      </c>
      <c r="H144" s="144"/>
      <c r="I144" s="177"/>
      <c r="J144" s="192"/>
      <c r="K144" s="131"/>
      <c r="L144" s="144"/>
      <c r="M144" s="131"/>
      <c r="N144" s="131"/>
    </row>
    <row r="145" spans="2:14">
      <c r="B145" s="132">
        <f t="shared" si="4"/>
        <v>70</v>
      </c>
      <c r="C145" s="133"/>
      <c r="D145" s="128" t="s">
        <v>407</v>
      </c>
      <c r="E145" s="131" t="s">
        <v>396</v>
      </c>
      <c r="F145" s="131"/>
      <c r="G145" s="114">
        <f>'WS F Misc Exp'!D64</f>
        <v>0</v>
      </c>
      <c r="H145" s="144"/>
      <c r="I145" s="177"/>
      <c r="J145" s="177"/>
      <c r="K145" s="131"/>
      <c r="L145" s="144"/>
      <c r="M145" s="131"/>
      <c r="N145" s="131"/>
    </row>
    <row r="146" spans="2:14" ht="15.75" thickBot="1">
      <c r="B146" s="132">
        <f t="shared" si="4"/>
        <v>71</v>
      </c>
      <c r="C146" s="133"/>
      <c r="D146" s="128" t="s">
        <v>134</v>
      </c>
      <c r="E146" s="131" t="s">
        <v>397</v>
      </c>
      <c r="F146" s="131"/>
      <c r="G146" s="110">
        <f>'WS F Misc Exp'!D72</f>
        <v>138506.37332258013</v>
      </c>
      <c r="H146" s="144"/>
      <c r="I146" s="177"/>
      <c r="J146" s="177"/>
      <c r="K146" s="131"/>
      <c r="L146" s="144"/>
      <c r="M146" s="131"/>
      <c r="N146" s="131"/>
    </row>
    <row r="147" spans="2:14">
      <c r="B147" s="132">
        <f>+B146+1</f>
        <v>72</v>
      </c>
      <c r="C147" s="133"/>
      <c r="D147" s="128" t="s">
        <v>408</v>
      </c>
      <c r="E147" s="131" t="str">
        <f>"(ln "&amp;B142&amp;" - sum ln "&amp;B143&amp;"  to ln "&amp;B146&amp;")"</f>
        <v>(ln 67 - sum ln 68  to ln 71)</v>
      </c>
      <c r="F147" s="131"/>
      <c r="G147" s="144">
        <f>G142-SUM(G143:G146)</f>
        <v>11845008.132546792</v>
      </c>
      <c r="H147" s="144"/>
      <c r="I147" s="145" t="s">
        <v>430</v>
      </c>
      <c r="J147" s="146">
        <f>L235</f>
        <v>0.97161951308616801</v>
      </c>
      <c r="K147" s="131"/>
      <c r="L147" s="144">
        <f>+J147*G147</f>
        <v>11508841.034246814</v>
      </c>
      <c r="M147" s="131"/>
      <c r="N147" s="131"/>
    </row>
    <row r="148" spans="2:14">
      <c r="B148" s="132">
        <f t="shared" si="4"/>
        <v>73</v>
      </c>
      <c r="C148" s="133"/>
      <c r="D148" s="128" t="s">
        <v>487</v>
      </c>
      <c r="E148" s="131" t="str">
        <f>"(ln "&amp;B143&amp;")"</f>
        <v>(ln 68)</v>
      </c>
      <c r="F148" s="131"/>
      <c r="G148" s="144">
        <f>+G143</f>
        <v>1346842.9140820291</v>
      </c>
      <c r="H148" s="144"/>
      <c r="I148" s="155" t="s">
        <v>636</v>
      </c>
      <c r="J148" s="146">
        <f>J70</f>
        <v>0.97161951308616801</v>
      </c>
      <c r="K148" s="131"/>
      <c r="L148" s="144">
        <f>+J148*G148</f>
        <v>1308618.8563839367</v>
      </c>
      <c r="M148" s="131"/>
      <c r="N148" s="131"/>
    </row>
    <row r="149" spans="2:14">
      <c r="B149" s="132">
        <f t="shared" si="4"/>
        <v>74</v>
      </c>
      <c r="C149" s="133"/>
      <c r="D149" s="128" t="s">
        <v>1</v>
      </c>
      <c r="E149" s="131" t="str">
        <f>"Worksheet F ln "&amp;'WS F Misc Exp'!A44&amp;".(E) (Note L)"</f>
        <v>Worksheet F ln 21.(E) (Note L)</v>
      </c>
      <c r="F149" s="131"/>
      <c r="G149" s="144">
        <f>+'WS F Misc Exp'!F44</f>
        <v>1547.0978521404409</v>
      </c>
      <c r="H149" s="144"/>
      <c r="I149" s="145" t="s">
        <v>420</v>
      </c>
      <c r="J149" s="146">
        <f>L217</f>
        <v>0.97161951308616801</v>
      </c>
      <c r="K149" s="131"/>
      <c r="L149" s="144">
        <f>J149*G149</f>
        <v>1503.1904617933515</v>
      </c>
      <c r="M149" s="131"/>
      <c r="N149" s="131"/>
    </row>
    <row r="150" spans="2:14">
      <c r="B150" s="132">
        <f>B149+1</f>
        <v>75</v>
      </c>
      <c r="C150" s="133"/>
      <c r="D150" s="128" t="s">
        <v>25</v>
      </c>
      <c r="E150" s="131" t="str">
        <f>"Worksheet F ln "&amp;'WS F Misc Exp'!A64&amp;".(E) (Note L)"</f>
        <v>Worksheet F ln 38.(E) (Note L)</v>
      </c>
      <c r="F150" s="131"/>
      <c r="G150" s="144">
        <f>+'WS F Misc Exp'!F64</f>
        <v>0</v>
      </c>
      <c r="H150" s="131"/>
      <c r="I150" s="145" t="s">
        <v>420</v>
      </c>
      <c r="J150" s="146">
        <f>L217</f>
        <v>0.97161951308616801</v>
      </c>
      <c r="K150" s="131"/>
      <c r="L150" s="144">
        <f>+J150*G150</f>
        <v>0</v>
      </c>
      <c r="M150" s="131"/>
      <c r="N150" s="131"/>
    </row>
    <row r="151" spans="2:14">
      <c r="B151" s="132">
        <f>+B150+1</f>
        <v>76</v>
      </c>
      <c r="C151" s="133"/>
      <c r="D151" s="128" t="s">
        <v>26</v>
      </c>
      <c r="E151" s="131" t="str">
        <f>"Worksheet F ln "&amp;'WS F Misc Exp'!A72&amp;".(E) (Note L)"</f>
        <v>Worksheet F ln 43.(E) (Note L)</v>
      </c>
      <c r="F151" s="131"/>
      <c r="G151" s="144">
        <f>+'WS F Misc Exp'!F72</f>
        <v>11397.79057002345</v>
      </c>
      <c r="H151" s="193"/>
      <c r="I151" s="145" t="s">
        <v>428</v>
      </c>
      <c r="J151" s="146">
        <v>1</v>
      </c>
      <c r="K151" s="131"/>
      <c r="L151" s="144">
        <f>+J151*G151</f>
        <v>11397.79057002345</v>
      </c>
      <c r="M151" s="131"/>
      <c r="N151" s="131"/>
    </row>
    <row r="152" spans="2:14">
      <c r="B152" s="132">
        <f>+B151+1</f>
        <v>77</v>
      </c>
      <c r="C152" s="133"/>
      <c r="D152" s="927" t="s">
        <v>791</v>
      </c>
      <c r="E152" s="131" t="str">
        <f>"Worksheet O Ln "&amp;'Worksheet O'!A33&amp;"."&amp;'Worksheet O'!D11&amp;", (Note K &amp; M)"</f>
        <v>Worksheet O Ln 16.(B), (Note K &amp; M)</v>
      </c>
      <c r="F152" s="131"/>
      <c r="G152" s="144">
        <f>'Worksheet O'!D33</f>
        <v>-128082.36743047554</v>
      </c>
      <c r="H152" s="193"/>
      <c r="I152" s="145" t="s">
        <v>430</v>
      </c>
      <c r="J152" s="146">
        <f>L235</f>
        <v>0.97161951308616801</v>
      </c>
      <c r="K152" s="131"/>
      <c r="L152" s="144">
        <f>+J152*G152</f>
        <v>-124447.32747772231</v>
      </c>
      <c r="M152" s="131"/>
      <c r="N152" s="131"/>
    </row>
    <row r="153" spans="2:14" ht="15.75" thickBot="1">
      <c r="B153" s="132"/>
      <c r="C153" s="133"/>
      <c r="D153" s="128"/>
      <c r="E153" s="131"/>
      <c r="F153" s="131"/>
      <c r="G153" s="110"/>
      <c r="H153" s="193"/>
      <c r="I153" s="145"/>
      <c r="J153" s="146"/>
      <c r="K153" s="131"/>
      <c r="L153" s="175"/>
      <c r="M153" s="131"/>
      <c r="N153" s="131"/>
    </row>
    <row r="154" spans="2:14">
      <c r="B154" s="132">
        <f>+B152+1</f>
        <v>78</v>
      </c>
      <c r="C154" s="133"/>
      <c r="D154" s="128" t="s">
        <v>409</v>
      </c>
      <c r="E154" s="131" t="str">
        <f>"(sum lns "&amp;B147&amp;"  to "&amp;B152&amp;")"</f>
        <v>(sum lns 72  to 77)</v>
      </c>
      <c r="F154" s="131"/>
      <c r="G154" s="144">
        <f>SUM(G147:G153)</f>
        <v>13076713.567620508</v>
      </c>
      <c r="H154" s="144"/>
      <c r="I154" s="145"/>
      <c r="J154" s="177"/>
      <c r="K154" s="131"/>
      <c r="L154" s="144">
        <f>SUM(L147:L153)</f>
        <v>12705913.544184845</v>
      </c>
      <c r="M154" s="144"/>
      <c r="N154" s="131"/>
    </row>
    <row r="155" spans="2:14" ht="15.75" thickBot="1">
      <c r="B155" s="132"/>
      <c r="C155" s="133"/>
      <c r="D155" s="128"/>
      <c r="E155" s="131"/>
      <c r="F155" s="131"/>
      <c r="G155" s="175"/>
      <c r="H155" s="131"/>
      <c r="I155" s="145"/>
      <c r="J155" s="177"/>
      <c r="K155" s="131"/>
      <c r="L155" s="175"/>
      <c r="M155" s="131"/>
      <c r="N155" s="131"/>
    </row>
    <row r="156" spans="2:14">
      <c r="B156" s="132">
        <f>+B154+1</f>
        <v>79</v>
      </c>
      <c r="C156" s="133"/>
      <c r="D156" s="128" t="s">
        <v>204</v>
      </c>
      <c r="E156" s="131" t="str">
        <f>"(ln "&amp;B140&amp;" + ln "&amp;B154&amp;")"</f>
        <v>(ln 66 + ln 78)</v>
      </c>
      <c r="F156" s="131"/>
      <c r="G156" s="144">
        <f>+G140+G154</f>
        <v>49893448.895901918</v>
      </c>
      <c r="H156" s="144"/>
      <c r="I156" s="145"/>
      <c r="J156" s="131"/>
      <c r="K156" s="131"/>
      <c r="L156" s="144">
        <f>L140+L154</f>
        <v>48477771.997271955</v>
      </c>
      <c r="M156" s="131"/>
      <c r="N156" s="131"/>
    </row>
    <row r="157" spans="2:14" ht="15.75" thickBot="1">
      <c r="B157" s="180">
        <f>+B156+1</f>
        <v>80</v>
      </c>
      <c r="C157" s="133"/>
      <c r="D157" s="128" t="s">
        <v>280</v>
      </c>
      <c r="E157" s="128"/>
      <c r="F157" s="131"/>
      <c r="G157" s="110">
        <v>0</v>
      </c>
      <c r="H157" s="144"/>
      <c r="I157" s="145" t="s">
        <v>428</v>
      </c>
      <c r="J157" s="146">
        <f>J63</f>
        <v>0</v>
      </c>
      <c r="K157" s="131"/>
      <c r="L157" s="175">
        <f>J157*G157</f>
        <v>0</v>
      </c>
      <c r="M157" s="131"/>
      <c r="N157" s="131"/>
    </row>
    <row r="158" spans="2:14">
      <c r="B158" s="132">
        <f>+B157+1</f>
        <v>81</v>
      </c>
      <c r="C158" s="133"/>
      <c r="D158" s="128" t="s">
        <v>410</v>
      </c>
      <c r="E158" s="131" t="str">
        <f>"(ln "&amp;B156&amp;" + ln "&amp;B157&amp;")"</f>
        <v>(ln 79 + ln 80)</v>
      </c>
      <c r="F158" s="131"/>
      <c r="G158" s="144">
        <f>+G156+G157</f>
        <v>49893448.895901918</v>
      </c>
      <c r="H158" s="144"/>
      <c r="I158" s="145"/>
      <c r="J158" s="131"/>
      <c r="K158" s="131"/>
      <c r="L158" s="144">
        <f>+L156+L157</f>
        <v>48477771.997271955</v>
      </c>
      <c r="M158" s="131"/>
      <c r="N158" s="131"/>
    </row>
    <row r="159" spans="2:14">
      <c r="B159" s="132"/>
      <c r="C159" s="133"/>
      <c r="D159" s="128"/>
      <c r="E159" s="131"/>
      <c r="F159" s="131"/>
      <c r="G159" s="144"/>
      <c r="H159" s="131"/>
      <c r="I159" s="131"/>
      <c r="J159" s="131"/>
      <c r="K159" s="131"/>
      <c r="L159" s="144"/>
      <c r="M159" s="131"/>
      <c r="N159" s="131"/>
    </row>
    <row r="160" spans="2:14">
      <c r="B160" s="132">
        <f>+B158+1</f>
        <v>82</v>
      </c>
      <c r="C160" s="133"/>
      <c r="D160" s="128" t="s">
        <v>413</v>
      </c>
      <c r="E160" s="145"/>
      <c r="F160" s="145"/>
      <c r="G160" s="144"/>
      <c r="H160" s="131"/>
      <c r="I160" s="145"/>
      <c r="J160" s="131"/>
      <c r="K160" s="131"/>
      <c r="L160" s="144"/>
      <c r="M160" s="131"/>
      <c r="N160" s="131"/>
    </row>
    <row r="161" spans="2:14">
      <c r="B161" s="180">
        <f>+B160+1</f>
        <v>83</v>
      </c>
      <c r="C161" s="133"/>
      <c r="D161" s="171" t="str">
        <f>+D135</f>
        <v xml:space="preserve">  Transmission </v>
      </c>
      <c r="E161" s="142" t="s">
        <v>208</v>
      </c>
      <c r="F161" s="172"/>
      <c r="G161" s="118">
        <v>128948578.88038066</v>
      </c>
      <c r="H161" s="1102"/>
      <c r="I161" s="194" t="s">
        <v>420</v>
      </c>
      <c r="J161" s="146">
        <f>L217</f>
        <v>0.97161951308616801</v>
      </c>
      <c r="K161" s="174"/>
      <c r="L161" s="173">
        <f>J161*G161</f>
        <v>125288955.42490879</v>
      </c>
      <c r="M161" s="131"/>
      <c r="N161" s="131"/>
    </row>
    <row r="162" spans="2:14">
      <c r="B162" s="132">
        <f>+B161+1</f>
        <v>84</v>
      </c>
      <c r="C162" s="133"/>
      <c r="D162" s="128" t="s">
        <v>434</v>
      </c>
      <c r="E162" s="172" t="s">
        <v>209</v>
      </c>
      <c r="F162" s="131"/>
      <c r="G162" s="118">
        <v>7703608.5790561046</v>
      </c>
      <c r="H162" s="144"/>
      <c r="I162" s="145" t="s">
        <v>430</v>
      </c>
      <c r="J162" s="146">
        <f>L235</f>
        <v>0.97161951308616801</v>
      </c>
      <c r="K162" s="131"/>
      <c r="L162" s="144">
        <f>+J162*G162</f>
        <v>7484976.4165889192</v>
      </c>
      <c r="M162" s="131"/>
      <c r="N162" s="131"/>
    </row>
    <row r="163" spans="2:14">
      <c r="B163" s="132">
        <f>+B162+1</f>
        <v>85</v>
      </c>
      <c r="C163" s="133"/>
      <c r="D163" s="128" t="s">
        <v>435</v>
      </c>
      <c r="E163" s="172" t="s">
        <v>210</v>
      </c>
      <c r="F163" s="131"/>
      <c r="G163" s="118">
        <v>0</v>
      </c>
      <c r="H163" s="144"/>
      <c r="I163" s="145" t="s">
        <v>430</v>
      </c>
      <c r="J163" s="146">
        <f>L235</f>
        <v>0.97161951308616801</v>
      </c>
      <c r="K163" s="131"/>
      <c r="L163" s="144">
        <f>+J163*G163</f>
        <v>0</v>
      </c>
      <c r="M163" s="131"/>
      <c r="N163" s="131"/>
    </row>
    <row r="164" spans="2:14" ht="15.75" thickBot="1">
      <c r="B164" s="132"/>
      <c r="C164" s="133"/>
      <c r="D164" s="128"/>
      <c r="E164" s="142"/>
      <c r="F164" s="1100"/>
      <c r="G164" s="1101"/>
      <c r="H164" s="131"/>
      <c r="I164" s="145"/>
      <c r="J164" s="146"/>
      <c r="K164" s="131"/>
      <c r="L164" s="175"/>
      <c r="M164" s="131"/>
      <c r="N164" s="131"/>
    </row>
    <row r="165" spans="2:14" ht="15" customHeight="1">
      <c r="B165" s="132">
        <f>+B163+1</f>
        <v>86</v>
      </c>
      <c r="C165" s="133"/>
      <c r="D165" s="128" t="s">
        <v>104</v>
      </c>
      <c r="E165" s="195" t="str">
        <f>"(Ln "&amp;B161&amp;"+"&amp;B162&amp;"+"&amp;B163&amp;")"</f>
        <v>(Ln 83+84+85)</v>
      </c>
      <c r="F165" s="131"/>
      <c r="G165" s="144">
        <f>+G161+G162+G163+G164</f>
        <v>136652187.45943677</v>
      </c>
      <c r="H165" s="131"/>
      <c r="I165" s="145"/>
      <c r="J165" s="131"/>
      <c r="K165" s="131"/>
      <c r="L165" s="144">
        <f>+L161+L162+L163+L164</f>
        <v>132773931.8414977</v>
      </c>
      <c r="M165" s="131"/>
      <c r="N165" s="131"/>
    </row>
    <row r="166" spans="2:14">
      <c r="B166" s="132"/>
      <c r="C166" s="133"/>
      <c r="D166" s="128"/>
      <c r="E166" s="196"/>
      <c r="F166" s="131"/>
      <c r="G166" s="144"/>
      <c r="H166" s="131"/>
      <c r="I166" s="145"/>
      <c r="J166" s="131"/>
      <c r="K166" s="131"/>
      <c r="L166" s="144"/>
      <c r="M166" s="131"/>
      <c r="N166" s="131"/>
    </row>
    <row r="167" spans="2:14">
      <c r="B167" s="132">
        <f>+B165+1</f>
        <v>87</v>
      </c>
      <c r="C167" s="133"/>
      <c r="D167" s="128" t="s">
        <v>365</v>
      </c>
      <c r="E167" s="123" t="s">
        <v>211</v>
      </c>
      <c r="G167" s="144"/>
      <c r="H167" s="131"/>
      <c r="I167" s="145"/>
      <c r="J167" s="131"/>
      <c r="K167" s="131"/>
      <c r="L167" s="144"/>
      <c r="M167" s="197"/>
      <c r="N167" s="131"/>
    </row>
    <row r="168" spans="2:14">
      <c r="B168" s="132">
        <f t="shared" ref="B168:B173" si="5">+B167+1</f>
        <v>88</v>
      </c>
      <c r="C168" s="133"/>
      <c r="D168" s="128" t="s">
        <v>436</v>
      </c>
      <c r="G168" s="144"/>
      <c r="H168" s="131"/>
      <c r="I168" s="145"/>
      <c r="K168" s="131"/>
      <c r="L168" s="144"/>
      <c r="M168" s="131"/>
      <c r="N168" s="131"/>
    </row>
    <row r="169" spans="2:14">
      <c r="B169" s="132">
        <f t="shared" si="5"/>
        <v>89</v>
      </c>
      <c r="C169" s="133"/>
      <c r="D169" s="128" t="s">
        <v>437</v>
      </c>
      <c r="E169" s="131" t="str">
        <f>"Worksheet H ln "&amp;'WS H-p1 Other Taxes'!A43&amp;"."&amp;'WS H-p1 Other Taxes'!I10&amp;""</f>
        <v>Worksheet H ln 23.(D)</v>
      </c>
      <c r="F169" s="131"/>
      <c r="G169" s="144">
        <f>+'WS H-p1 Other Taxes'!I43</f>
        <v>0</v>
      </c>
      <c r="H169" s="144"/>
      <c r="I169" s="145" t="s">
        <v>430</v>
      </c>
      <c r="J169" s="146">
        <f>L235</f>
        <v>0.97161951308616801</v>
      </c>
      <c r="K169" s="131"/>
      <c r="L169" s="144">
        <f>+J169*G169</f>
        <v>0</v>
      </c>
      <c r="M169" s="131"/>
      <c r="N169" s="131"/>
    </row>
    <row r="170" spans="2:14">
      <c r="B170" s="132">
        <f t="shared" si="5"/>
        <v>90</v>
      </c>
      <c r="C170" s="133"/>
      <c r="D170" s="128" t="s">
        <v>438</v>
      </c>
      <c r="E170" s="131" t="s">
        <v>414</v>
      </c>
      <c r="F170" s="131"/>
      <c r="G170" s="144"/>
      <c r="H170" s="144"/>
      <c r="I170" s="145"/>
      <c r="K170" s="131"/>
      <c r="L170" s="144"/>
      <c r="M170" s="131"/>
      <c r="N170" s="131"/>
    </row>
    <row r="171" spans="2:14">
      <c r="B171" s="132">
        <f t="shared" si="5"/>
        <v>91</v>
      </c>
      <c r="C171" s="133"/>
      <c r="D171" s="128" t="s">
        <v>439</v>
      </c>
      <c r="E171" s="131" t="str">
        <f>"Worksheet H-p2 ln "&amp;'WS H-p2 Detail of Tax Amts'!A22&amp;"."&amp;'WS H-p2 Detail of Tax Amts'!E19&amp; " &amp; ln "&amp;'WS H-p2 Detail of Tax Amts'!A22&amp;"."&amp;'WS H-p2 Detail of Tax Amts'!I19&amp;""</f>
        <v>Worksheet H-p2 ln 3.(C) &amp; ln 3.(G)</v>
      </c>
      <c r="F171" s="131"/>
      <c r="G171" s="144">
        <f>'WS H-p2 Detail of Tax Amts'!E22</f>
        <v>38550999.999999993</v>
      </c>
      <c r="H171" s="144"/>
      <c r="I171" s="145" t="s">
        <v>428</v>
      </c>
      <c r="J171" s="146">
        <v>1</v>
      </c>
      <c r="K171" s="131"/>
      <c r="L171" s="144">
        <f>'WS H-p2 Detail of Tax Amts'!I22</f>
        <v>38550999.999999993</v>
      </c>
      <c r="M171" s="197"/>
      <c r="N171" s="131"/>
    </row>
    <row r="172" spans="2:14">
      <c r="B172" s="132">
        <f t="shared" si="5"/>
        <v>92</v>
      </c>
      <c r="C172" s="133"/>
      <c r="D172" s="128" t="s">
        <v>490</v>
      </c>
      <c r="E172" s="131" t="str">
        <f>"Worksheet H ln "&amp;'WS H-p1 Other Taxes'!A43&amp;"."&amp;'WS H-p1 Other Taxes'!M10&amp;""</f>
        <v>Worksheet H ln 23.(F)</v>
      </c>
      <c r="F172" s="131"/>
      <c r="G172" s="144">
        <f>+'WS H-p1 Other Taxes'!M43</f>
        <v>0</v>
      </c>
      <c r="H172" s="41"/>
      <c r="I172" s="145" t="s">
        <v>426</v>
      </c>
      <c r="J172" s="146">
        <v>0</v>
      </c>
      <c r="K172" s="131"/>
      <c r="L172" s="144">
        <f>+J172*G172</f>
        <v>0</v>
      </c>
      <c r="M172" s="131"/>
      <c r="N172" s="131"/>
    </row>
    <row r="173" spans="2:14" ht="15.75" thickBot="1">
      <c r="B173" s="132">
        <f t="shared" si="5"/>
        <v>93</v>
      </c>
      <c r="C173" s="133"/>
      <c r="D173" s="128" t="s">
        <v>440</v>
      </c>
      <c r="E173" s="131" t="str">
        <f>"Worksheet H ln "&amp;'WS H-p1 Other Taxes'!A43&amp;"."&amp;'WS H-p1 Other Taxes'!K10&amp;""</f>
        <v>Worksheet H ln 23.(E)</v>
      </c>
      <c r="F173" s="131"/>
      <c r="G173" s="175">
        <f>+'WS H-p1 Other Taxes'!K43</f>
        <v>0</v>
      </c>
      <c r="H173" s="41"/>
      <c r="I173" s="145" t="s">
        <v>757</v>
      </c>
      <c r="J173" s="146">
        <f>J70</f>
        <v>0.97161951308616801</v>
      </c>
      <c r="K173" s="131"/>
      <c r="L173" s="175">
        <f>+J173*G173</f>
        <v>0</v>
      </c>
      <c r="M173" s="131"/>
      <c r="N173" s="131"/>
    </row>
    <row r="174" spans="2:14">
      <c r="B174" s="132">
        <f>+B173+1</f>
        <v>94</v>
      </c>
      <c r="C174" s="133"/>
      <c r="D174" s="128" t="s">
        <v>366</v>
      </c>
      <c r="E174" s="142" t="str">
        <f>"(sum lns "&amp;B169&amp;" to "&amp;B173&amp;")"</f>
        <v>(sum lns 89 to 93)</v>
      </c>
      <c r="F174" s="131"/>
      <c r="G174" s="144">
        <f>SUM(G169:G173)</f>
        <v>38550999.999999993</v>
      </c>
      <c r="H174" s="131"/>
      <c r="I174" s="145"/>
      <c r="J174" s="198"/>
      <c r="K174" s="131"/>
      <c r="L174" s="144">
        <f>SUM(L169:L173)</f>
        <v>38550999.999999993</v>
      </c>
      <c r="M174" s="131"/>
      <c r="N174" s="131"/>
    </row>
    <row r="175" spans="2:14">
      <c r="B175" s="132"/>
      <c r="C175" s="133"/>
      <c r="D175" s="128"/>
      <c r="E175" s="131"/>
      <c r="F175" s="131"/>
      <c r="G175" s="131"/>
      <c r="H175" s="131"/>
      <c r="I175" s="145"/>
      <c r="J175" s="198"/>
      <c r="K175" s="131"/>
      <c r="L175" s="131"/>
      <c r="M175" s="131"/>
      <c r="N175" s="131"/>
    </row>
    <row r="176" spans="2:14">
      <c r="B176" s="132">
        <f>+B174+1</f>
        <v>95</v>
      </c>
      <c r="C176" s="133"/>
      <c r="D176" s="128" t="s">
        <v>139</v>
      </c>
      <c r="E176" s="131" t="s">
        <v>212</v>
      </c>
      <c r="F176" s="199"/>
      <c r="G176" s="131"/>
      <c r="H176" s="41"/>
      <c r="I176" s="187"/>
      <c r="K176" s="131"/>
      <c r="L176" s="200"/>
      <c r="M176" s="131"/>
      <c r="N176" s="131"/>
    </row>
    <row r="177" spans="2:14">
      <c r="B177" s="132">
        <f t="shared" ref="B177:B182" si="6">+B176+1</f>
        <v>96</v>
      </c>
      <c r="C177" s="133"/>
      <c r="D177" s="201" t="s">
        <v>140</v>
      </c>
      <c r="E177" s="131"/>
      <c r="F177" s="202"/>
      <c r="G177" s="203">
        <f>IF(F356&gt;0,1-(((1-F357)*(1-F356))/(1-F357*F356*F358)),0)</f>
        <v>0.24935226999999993</v>
      </c>
      <c r="H177" s="204"/>
      <c r="I177" s="204"/>
      <c r="K177" s="205"/>
      <c r="L177" s="200"/>
      <c r="M177" s="131"/>
      <c r="N177" s="131"/>
    </row>
    <row r="178" spans="2:14">
      <c r="B178" s="132">
        <f t="shared" si="6"/>
        <v>97</v>
      </c>
      <c r="C178" s="133"/>
      <c r="D178" s="123" t="s">
        <v>141</v>
      </c>
      <c r="E178" s="131"/>
      <c r="F178" s="202"/>
      <c r="G178" s="203">
        <f>IF(L249&gt;0,($G177/(1-$G177))*(1-$L249/$L252),0)</f>
        <v>0.24828744721903251</v>
      </c>
      <c r="H178" s="204"/>
      <c r="I178" s="204"/>
      <c r="K178" s="205"/>
      <c r="L178" s="200"/>
      <c r="M178" s="131"/>
      <c r="N178" s="131"/>
    </row>
    <row r="179" spans="2:14">
      <c r="B179" s="132">
        <f t="shared" si="6"/>
        <v>98</v>
      </c>
      <c r="C179" s="133"/>
      <c r="D179" s="128" t="str">
        <f>"       where WCLTD=(ln "&amp;B249&amp;") and WACC = (ln "&amp;B252&amp;")"</f>
        <v xml:space="preserve">       where WCLTD=(ln 136) and WACC = (ln 139)</v>
      </c>
      <c r="E179" s="131"/>
      <c r="F179" s="199"/>
      <c r="G179" s="131"/>
      <c r="H179" s="204"/>
      <c r="I179" s="204"/>
      <c r="J179" s="206"/>
      <c r="K179" s="205"/>
      <c r="L179" s="207"/>
      <c r="M179" s="131"/>
      <c r="N179" s="131"/>
    </row>
    <row r="180" spans="2:14">
      <c r="B180" s="132">
        <f t="shared" si="6"/>
        <v>99</v>
      </c>
      <c r="C180" s="133"/>
      <c r="D180" s="128" t="s">
        <v>213</v>
      </c>
      <c r="E180" s="208"/>
      <c r="F180" s="202"/>
      <c r="G180" s="131"/>
      <c r="H180" s="41"/>
      <c r="I180" s="187"/>
      <c r="J180" s="206"/>
      <c r="K180" s="205"/>
      <c r="L180" s="200"/>
      <c r="M180" s="131"/>
      <c r="N180" s="131"/>
    </row>
    <row r="181" spans="2:14">
      <c r="B181" s="132">
        <f t="shared" si="6"/>
        <v>100</v>
      </c>
      <c r="C181" s="133"/>
      <c r="D181" s="201" t="str">
        <f>"      GRCF=1 / (1 - T)  = (from ln "&amp;B177&amp;")"</f>
        <v xml:space="preserve">      GRCF=1 / (1 - T)  = (from ln 96)</v>
      </c>
      <c r="E181" s="199"/>
      <c r="F181" s="199"/>
      <c r="G181" s="209">
        <f>IF(G177&gt;0,1/(1-G177),0)</f>
        <v>1.3321828069739183</v>
      </c>
      <c r="H181" s="41"/>
      <c r="I181" s="155"/>
      <c r="J181" s="210"/>
      <c r="K181" s="211"/>
      <c r="L181" s="212"/>
      <c r="M181" s="131"/>
      <c r="N181" s="131"/>
    </row>
    <row r="182" spans="2:14">
      <c r="B182" s="132">
        <f t="shared" si="6"/>
        <v>101</v>
      </c>
      <c r="C182" s="133"/>
      <c r="D182" s="128" t="s">
        <v>142</v>
      </c>
      <c r="E182" s="177" t="s">
        <v>300</v>
      </c>
      <c r="F182" s="199"/>
      <c r="G182" s="118">
        <v>0</v>
      </c>
      <c r="H182" s="3"/>
      <c r="I182" s="155"/>
      <c r="J182" s="890"/>
      <c r="K182" s="144"/>
      <c r="M182" s="131"/>
      <c r="N182" s="131"/>
    </row>
    <row r="183" spans="2:14">
      <c r="B183" s="132">
        <f t="shared" ref="B183:B189" si="7">+B182+1</f>
        <v>102</v>
      </c>
      <c r="C183" s="133"/>
      <c r="D183" s="128" t="s">
        <v>558</v>
      </c>
      <c r="E183" s="131" t="s">
        <v>758</v>
      </c>
      <c r="F183" s="202"/>
      <c r="G183" s="118">
        <v>1213476.5631912092</v>
      </c>
      <c r="H183" s="3"/>
      <c r="I183" s="215" t="s">
        <v>640</v>
      </c>
      <c r="J183" s="146">
        <f>NP_h</f>
        <v>0.97240200959258927</v>
      </c>
      <c r="K183" s="144"/>
      <c r="L183" s="144">
        <f>+G183*J183</f>
        <v>1179987.0486406405</v>
      </c>
      <c r="M183" s="131"/>
      <c r="N183" s="131"/>
    </row>
    <row r="184" spans="2:14">
      <c r="B184" s="132">
        <f t="shared" si="7"/>
        <v>103</v>
      </c>
      <c r="C184" s="133"/>
      <c r="D184" s="128" t="s">
        <v>639</v>
      </c>
      <c r="E184" s="131" t="s">
        <v>758</v>
      </c>
      <c r="F184" s="202"/>
      <c r="G184" s="118">
        <v>835616.66256024002</v>
      </c>
      <c r="H184" s="3"/>
      <c r="I184" s="215" t="s">
        <v>640</v>
      </c>
      <c r="J184" s="146">
        <f>NP_h</f>
        <v>0.97240200959258927</v>
      </c>
      <c r="K184" s="144"/>
      <c r="L184" s="144">
        <f>+G184*J184</f>
        <v>812555.32192262996</v>
      </c>
      <c r="M184" s="131"/>
      <c r="N184" s="131"/>
    </row>
    <row r="185" spans="2:14">
      <c r="B185" s="132">
        <f t="shared" si="7"/>
        <v>104</v>
      </c>
      <c r="C185" s="133"/>
      <c r="D185" s="201" t="s">
        <v>143</v>
      </c>
      <c r="E185" s="213" t="str">
        <f>"(ln "&amp;B178&amp;" * ln "&amp;B191&amp;")"</f>
        <v>(ln 97 * ln 109)</v>
      </c>
      <c r="F185" s="214"/>
      <c r="G185" s="144">
        <f>+G178*G191</f>
        <v>67358714.701997012</v>
      </c>
      <c r="H185" s="3"/>
      <c r="I185" s="155"/>
      <c r="J185" s="884"/>
      <c r="K185" s="144"/>
      <c r="L185" s="144">
        <f>+L191*G178</f>
        <v>65923667.830931321</v>
      </c>
      <c r="M185" s="131"/>
      <c r="N185" s="131"/>
    </row>
    <row r="186" spans="2:14">
      <c r="B186" s="132">
        <f t="shared" si="7"/>
        <v>105</v>
      </c>
      <c r="C186" s="133"/>
      <c r="D186" s="123" t="s">
        <v>144</v>
      </c>
      <c r="E186" s="213" t="str">
        <f>"(ln "&amp;B181&amp;" * ln "&amp;B182&amp;")"</f>
        <v>(ln 100 * ln 101)</v>
      </c>
      <c r="F186" s="213"/>
      <c r="G186" s="144">
        <f>G181*G182</f>
        <v>0</v>
      </c>
      <c r="H186" s="3"/>
      <c r="I186" s="215" t="s">
        <v>640</v>
      </c>
      <c r="J186" s="146">
        <f>NP_h</f>
        <v>0.97240200959258927</v>
      </c>
      <c r="K186" s="144"/>
      <c r="L186" s="144">
        <f>+G186*J186</f>
        <v>0</v>
      </c>
      <c r="M186" s="131"/>
      <c r="N186" s="131"/>
    </row>
    <row r="187" spans="2:14">
      <c r="B187" s="132">
        <f t="shared" si="7"/>
        <v>106</v>
      </c>
      <c r="C187" s="133"/>
      <c r="D187" s="123" t="s">
        <v>558</v>
      </c>
      <c r="E187" s="213" t="str">
        <f>"(ln "&amp;B181&amp;" * ln "&amp;B183&amp;")"</f>
        <v>(ln 100 * ln 102)</v>
      </c>
      <c r="F187" s="213"/>
      <c r="G187" s="144">
        <f>G181*G183</f>
        <v>1616572.6141491286</v>
      </c>
      <c r="H187" s="3"/>
      <c r="I187" s="215"/>
      <c r="J187" s="146"/>
      <c r="K187" s="144"/>
      <c r="L187" s="144">
        <f>G181*L183</f>
        <v>1571958.4586509578</v>
      </c>
      <c r="M187" s="131"/>
      <c r="N187" s="131"/>
    </row>
    <row r="188" spans="2:14">
      <c r="B188" s="132">
        <f t="shared" si="7"/>
        <v>107</v>
      </c>
      <c r="C188" s="133"/>
      <c r="D188" s="128" t="s">
        <v>639</v>
      </c>
      <c r="E188" s="213" t="str">
        <f>"(ln "&amp;B181&amp;" * ln "&amp;B184&amp;")"</f>
        <v>(ln 100 * ln 103)</v>
      </c>
      <c r="F188" s="213"/>
      <c r="G188" s="885">
        <f>G181*G184</f>
        <v>1113194.151083678</v>
      </c>
      <c r="H188" s="3"/>
      <c r="I188" s="215"/>
      <c r="J188" s="146"/>
      <c r="K188" s="144"/>
      <c r="L188" s="885">
        <f>G181*L184</f>
        <v>1082472.229580485</v>
      </c>
      <c r="M188" s="131"/>
      <c r="N188" s="131"/>
    </row>
    <row r="189" spans="2:14">
      <c r="B189" s="180">
        <f t="shared" si="7"/>
        <v>108</v>
      </c>
      <c r="C189" s="133"/>
      <c r="D189" s="201" t="s">
        <v>367</v>
      </c>
      <c r="E189" s="131" t="str">
        <f>"(sum lns "&amp;B185&amp;" to "&amp;B188&amp;")"</f>
        <v>(sum lns 104 to 107)</v>
      </c>
      <c r="F189" s="213"/>
      <c r="G189" s="215">
        <f>SUM(G185:G188)</f>
        <v>70088481.467229813</v>
      </c>
      <c r="H189" s="41"/>
      <c r="I189" s="155" t="s">
        <v>414</v>
      </c>
      <c r="J189" s="216"/>
      <c r="K189" s="144"/>
      <c r="L189" s="215">
        <f>SUM(L185:L188)</f>
        <v>68578098.519162774</v>
      </c>
      <c r="M189" s="131"/>
      <c r="N189" s="131"/>
    </row>
    <row r="190" spans="2:14">
      <c r="B190" s="180"/>
      <c r="C190" s="133"/>
      <c r="D190" s="201"/>
      <c r="E190" s="131"/>
      <c r="F190" s="213"/>
      <c r="G190" s="215"/>
      <c r="H190" s="41"/>
      <c r="I190" s="155"/>
      <c r="J190" s="216"/>
      <c r="K190" s="144"/>
      <c r="L190" s="215"/>
      <c r="M190" s="131"/>
      <c r="N190" s="131"/>
    </row>
    <row r="191" spans="2:14">
      <c r="B191" s="180">
        <f>+B189+1</f>
        <v>109</v>
      </c>
      <c r="C191" s="133"/>
      <c r="D191" s="201" t="s">
        <v>489</v>
      </c>
      <c r="E191" s="201" t="str">
        <f>"(ln "&amp;B118&amp;" * ln "&amp;B252&amp;")"</f>
        <v>(ln 58 * ln 139)</v>
      </c>
      <c r="F191" s="179"/>
      <c r="G191" s="217">
        <f>+$L252*G118</f>
        <v>271293275.01834989</v>
      </c>
      <c r="H191" s="131"/>
      <c r="I191" s="155"/>
      <c r="J191" s="144"/>
      <c r="K191" s="144"/>
      <c r="L191" s="217">
        <f>+L252*L118</f>
        <v>265513494.81947523</v>
      </c>
      <c r="M191" s="200"/>
      <c r="N191" s="200"/>
    </row>
    <row r="192" spans="2:14">
      <c r="B192" s="132"/>
      <c r="C192" s="133"/>
      <c r="D192" s="201"/>
      <c r="G192" s="144"/>
      <c r="H192" s="144"/>
      <c r="I192" s="155"/>
      <c r="J192" s="155"/>
      <c r="K192" s="144"/>
      <c r="L192" s="144"/>
    </row>
    <row r="193" spans="2:12">
      <c r="B193" s="132">
        <f>+B191+1</f>
        <v>110</v>
      </c>
      <c r="C193" s="133"/>
      <c r="D193" s="218" t="s">
        <v>398</v>
      </c>
      <c r="F193" s="172"/>
      <c r="G193" s="144">
        <f>-'WS D IPP Credits'!C13</f>
        <v>0</v>
      </c>
      <c r="H193" s="144"/>
      <c r="I193" s="184" t="s">
        <v>428</v>
      </c>
      <c r="J193" s="146">
        <v>1</v>
      </c>
      <c r="K193" s="173"/>
      <c r="L193" s="144">
        <f>+J193*G193</f>
        <v>0</v>
      </c>
    </row>
    <row r="194" spans="2:12">
      <c r="B194" s="132"/>
      <c r="C194" s="133"/>
      <c r="D194" s="218"/>
      <c r="F194" s="172"/>
      <c r="G194" s="144"/>
      <c r="H194" s="144"/>
      <c r="I194" s="184"/>
      <c r="J194" s="146"/>
      <c r="K194" s="173"/>
      <c r="L194" s="144"/>
    </row>
    <row r="195" spans="2:12">
      <c r="B195" s="132">
        <f>+B193+1</f>
        <v>111</v>
      </c>
      <c r="C195" s="133"/>
      <c r="D195" s="218"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72"/>
      <c r="G195" s="144">
        <f>+'WS N - Sale of Plant Held'!O33</f>
        <v>0</v>
      </c>
      <c r="H195" s="144"/>
      <c r="I195" s="184"/>
      <c r="J195" s="146"/>
      <c r="K195" s="173"/>
      <c r="L195" s="144">
        <f>'WS N - Sale of Plant Held'!S33</f>
        <v>0</v>
      </c>
    </row>
    <row r="196" spans="2:12">
      <c r="B196" s="132"/>
      <c r="C196" s="133"/>
      <c r="D196" s="218"/>
      <c r="F196" s="172"/>
      <c r="G196" s="144"/>
      <c r="H196" s="144"/>
      <c r="I196" s="184"/>
      <c r="J196" s="146"/>
      <c r="K196" s="173"/>
      <c r="L196" s="144"/>
    </row>
    <row r="197" spans="2:12">
      <c r="B197" s="132">
        <f>+B195+1</f>
        <v>112</v>
      </c>
      <c r="C197" s="133"/>
      <c r="D197" s="218" t="str">
        <f>" Tax Impact on Net Loss / (Gain) on Sales of Plant Held for Future Use (ln "&amp;B195&amp;" * ln"&amp;B178&amp;")"</f>
        <v xml:space="preserve"> Tax Impact on Net Loss / (Gain) on Sales of Plant Held for Future Use (ln 111 * ln97)</v>
      </c>
      <c r="F197" s="172"/>
      <c r="G197" s="144">
        <f>-+G178*G195</f>
        <v>0</v>
      </c>
      <c r="H197" s="144"/>
      <c r="I197" s="184"/>
      <c r="J197" s="146"/>
      <c r="K197" s="173"/>
      <c r="L197" s="144">
        <f>L195*-G178</f>
        <v>0</v>
      </c>
    </row>
    <row r="198" spans="2:12" ht="15.75" thickBot="1">
      <c r="B198" s="132"/>
      <c r="C198" s="133"/>
      <c r="D198" s="128"/>
      <c r="G198" s="175"/>
      <c r="H198" s="219"/>
      <c r="I198" s="155"/>
      <c r="J198" s="155"/>
      <c r="K198" s="144"/>
      <c r="L198" s="175"/>
    </row>
    <row r="199" spans="2:12" ht="15.75" thickBot="1">
      <c r="B199" s="132">
        <f>+B197+1</f>
        <v>113</v>
      </c>
      <c r="C199" s="133"/>
      <c r="D199" s="123" t="s">
        <v>47</v>
      </c>
      <c r="G199" s="220">
        <f>+G193+G191+G189+G174+G165+G158+G195+G197</f>
        <v>566478392.84091842</v>
      </c>
      <c r="L199" s="220">
        <f>+L193+L191+L189+L174+L165+L158+L195+L197</f>
        <v>553894297.17740774</v>
      </c>
    </row>
    <row r="200" spans="2:12" ht="15.75" thickTop="1">
      <c r="B200" s="132"/>
      <c r="C200" s="133"/>
      <c r="D200" s="128" t="str">
        <f>"    (sum lns "&amp;B158&amp;", "&amp;B165&amp;", "&amp;B174&amp;", "&amp;B189&amp;", "&amp;B191&amp;", "&amp;B193&amp;", "&amp;B195&amp;", "&amp;B197&amp;")"</f>
        <v xml:space="preserve">    (sum lns 81, 86, 94, 108, 109, 110, 111, 112)</v>
      </c>
      <c r="F200" s="140"/>
    </row>
    <row r="201" spans="2:12">
      <c r="B201" s="132"/>
      <c r="C201" s="133"/>
      <c r="F201" s="140"/>
    </row>
    <row r="202" spans="2:12">
      <c r="B202" s="132"/>
      <c r="C202" s="133"/>
      <c r="D202" s="128"/>
      <c r="F202" s="187" t="str">
        <f>F121</f>
        <v>AEPTCo subsidiaries in PJM</v>
      </c>
    </row>
    <row r="203" spans="2:12">
      <c r="B203" s="132"/>
      <c r="C203" s="133"/>
      <c r="D203" s="128"/>
      <c r="F203" s="187" t="str">
        <f>F122</f>
        <v>Transmission Cost of Service Formula Rate</v>
      </c>
    </row>
    <row r="204" spans="2:12">
      <c r="B204" s="123"/>
      <c r="C204" s="133"/>
      <c r="F204" s="187" t="str">
        <f>F123</f>
        <v>Utilizing  Actual/Projected FERC Form 1 Data</v>
      </c>
    </row>
    <row r="205" spans="2:12">
      <c r="B205" s="132"/>
      <c r="C205" s="133"/>
      <c r="E205" s="187"/>
      <c r="F205" s="187"/>
      <c r="G205" s="187"/>
      <c r="H205" s="187"/>
      <c r="I205" s="187"/>
      <c r="J205" s="187"/>
      <c r="K205" s="187"/>
    </row>
    <row r="206" spans="2:12">
      <c r="B206" s="132"/>
      <c r="C206" s="133"/>
      <c r="E206" s="128"/>
      <c r="F206" s="187" t="str">
        <f>F125</f>
        <v>AEP Indiana Michigan Transmission Company</v>
      </c>
      <c r="G206" s="128"/>
      <c r="H206" s="128"/>
      <c r="I206" s="128"/>
      <c r="J206" s="128"/>
      <c r="K206" s="128"/>
      <c r="L206" s="128"/>
    </row>
    <row r="207" spans="2:12">
      <c r="B207" s="132"/>
      <c r="C207" s="133"/>
      <c r="E207" s="128"/>
      <c r="F207" s="187"/>
      <c r="G207" s="128"/>
      <c r="H207" s="128"/>
      <c r="I207" s="128"/>
      <c r="J207" s="128"/>
      <c r="K207" s="128"/>
      <c r="L207" s="128"/>
    </row>
    <row r="208" spans="2:12" ht="15.75">
      <c r="B208" s="132"/>
      <c r="C208" s="133"/>
      <c r="F208" s="188" t="s">
        <v>372</v>
      </c>
      <c r="H208" s="128"/>
      <c r="I208" s="128"/>
      <c r="J208" s="128"/>
      <c r="K208" s="128"/>
      <c r="L208" s="128"/>
    </row>
    <row r="209" spans="2:15" ht="15.75">
      <c r="B209" s="132"/>
      <c r="C209" s="133"/>
      <c r="D209" s="221"/>
      <c r="E209" s="128"/>
      <c r="F209" s="128"/>
      <c r="G209" s="128"/>
      <c r="H209" s="128"/>
      <c r="I209" s="128"/>
      <c r="J209" s="128"/>
      <c r="K209" s="128"/>
      <c r="L209" s="128"/>
    </row>
    <row r="210" spans="2:15" ht="15.75">
      <c r="B210" s="132" t="s">
        <v>416</v>
      </c>
      <c r="C210" s="133"/>
      <c r="D210" s="221"/>
      <c r="E210" s="128"/>
      <c r="F210" s="128"/>
      <c r="G210" s="128"/>
      <c r="H210" s="128"/>
      <c r="I210" s="128"/>
      <c r="J210" s="128"/>
      <c r="K210" s="128"/>
      <c r="L210" s="128"/>
    </row>
    <row r="211" spans="2:15" ht="15.75" thickBot="1">
      <c r="B211" s="138" t="s">
        <v>417</v>
      </c>
      <c r="C211" s="133"/>
      <c r="D211" s="128" t="s">
        <v>510</v>
      </c>
      <c r="E211" s="128"/>
      <c r="F211" s="128"/>
      <c r="G211" s="128"/>
      <c r="H211" s="128"/>
      <c r="I211" s="128"/>
      <c r="J211" s="128"/>
      <c r="O211"/>
    </row>
    <row r="212" spans="2:15">
      <c r="B212" s="132">
        <f>+B199+1</f>
        <v>114</v>
      </c>
      <c r="C212" s="133"/>
      <c r="D212" s="128" t="s">
        <v>464</v>
      </c>
      <c r="E212" s="222" t="str">
        <f>"(ln "&amp;B63&amp;")"</f>
        <v>(ln 19)</v>
      </c>
      <c r="F212" s="128"/>
      <c r="H212" s="131"/>
      <c r="I212" s="131"/>
      <c r="J212" s="131"/>
      <c r="K212" s="131"/>
      <c r="L212" s="144">
        <f>+G63</f>
        <v>4647865846.5563107</v>
      </c>
      <c r="O212"/>
    </row>
    <row r="213" spans="2:15">
      <c r="B213" s="132">
        <f>+B212+1</f>
        <v>115</v>
      </c>
      <c r="C213" s="133"/>
      <c r="D213" s="128" t="str">
        <f>"  Less transmission plant excluded from PJM Tariff  (Worksheet A, ln "&amp;'WS A - Rate Base Support'!A62&amp;"."&amp;'WS A - Rate Base Support'!E47&amp;") (Note P)"</f>
        <v xml:space="preserve">  Less transmission plant excluded from PJM Tariff  (Worksheet A, ln 42.(d)) (Note P)</v>
      </c>
      <c r="G213" s="187"/>
      <c r="L213" s="112">
        <f>'WS A - Rate Base Support'!E62</f>
        <v>131908695.83543752</v>
      </c>
      <c r="O213"/>
    </row>
    <row r="214" spans="2:15" ht="36" customHeight="1" thickBot="1">
      <c r="B214" s="132">
        <f>+B213+1</f>
        <v>116</v>
      </c>
      <c r="C214" s="133"/>
      <c r="D214" s="128"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28"/>
      <c r="F214" s="128"/>
      <c r="G214" s="145"/>
      <c r="H214" s="131"/>
      <c r="I214" s="131"/>
      <c r="J214" s="145"/>
      <c r="K214" s="131"/>
      <c r="L214" s="175">
        <f>'WS A - Rate Base Support'!C62</f>
        <v>0</v>
      </c>
      <c r="O214"/>
    </row>
    <row r="215" spans="2:15">
      <c r="B215" s="132">
        <f>+B214+1</f>
        <v>117</v>
      </c>
      <c r="C215" s="133"/>
      <c r="D215" s="128" t="s">
        <v>511</v>
      </c>
      <c r="E215" s="142" t="str">
        <f>"(ln "&amp;B212&amp;" - ln "&amp;B213&amp;" - ln "&amp;B214&amp;")"</f>
        <v>(ln 114 - ln 115 - ln 116)</v>
      </c>
      <c r="F215" s="128"/>
      <c r="H215" s="131"/>
      <c r="I215" s="131"/>
      <c r="J215" s="145"/>
      <c r="K215" s="131"/>
      <c r="L215" s="144">
        <f>L212-L213-L214</f>
        <v>4515957150.7208729</v>
      </c>
      <c r="O215"/>
    </row>
    <row r="216" spans="2:15" ht="9" customHeight="1">
      <c r="B216" s="132"/>
      <c r="C216" s="133"/>
      <c r="E216" s="128"/>
      <c r="F216" s="128"/>
      <c r="G216" s="145"/>
      <c r="H216" s="131"/>
      <c r="I216" s="131"/>
      <c r="J216" s="145"/>
      <c r="K216" s="131"/>
      <c r="O216"/>
    </row>
    <row r="217" spans="2:15" ht="15.75" customHeight="1">
      <c r="B217" s="132">
        <f>+B215+1</f>
        <v>118</v>
      </c>
      <c r="C217" s="133"/>
      <c r="D217" s="128" t="s">
        <v>512</v>
      </c>
      <c r="E217" s="133" t="str">
        <f>"(ln "&amp;B215&amp;" / ln "&amp;B212&amp;")"</f>
        <v>(ln 117 / ln 114)</v>
      </c>
      <c r="F217" s="136"/>
      <c r="H217" s="136"/>
      <c r="I217" s="134"/>
      <c r="J217" s="134"/>
      <c r="K217" s="181" t="s">
        <v>441</v>
      </c>
      <c r="L217" s="223">
        <f>IF(L212=0,1,L215/L212)</f>
        <v>0.97161951308616801</v>
      </c>
      <c r="O217"/>
    </row>
    <row r="218" spans="2:15" ht="15.75">
      <c r="B218" s="132"/>
      <c r="C218" s="133"/>
      <c r="D218" s="221"/>
      <c r="E218" s="128"/>
      <c r="F218" s="128"/>
      <c r="G218" s="131"/>
      <c r="H218" s="128"/>
      <c r="I218" s="133"/>
      <c r="J218" s="128"/>
      <c r="K218" s="128"/>
      <c r="L218" s="128"/>
    </row>
    <row r="219" spans="2:15">
      <c r="B219" s="132"/>
      <c r="C219" s="133"/>
      <c r="D219" s="128"/>
      <c r="E219" s="128"/>
      <c r="F219" s="128"/>
      <c r="G219" s="131"/>
      <c r="H219" s="128"/>
      <c r="I219" s="133"/>
      <c r="J219" s="128"/>
      <c r="K219" s="128"/>
      <c r="L219" s="128"/>
    </row>
    <row r="220" spans="2:15" ht="15.75">
      <c r="B220" s="132"/>
      <c r="C220" s="133"/>
      <c r="D220" s="221"/>
      <c r="E220" s="128"/>
      <c r="F220" s="128"/>
      <c r="G220" s="131"/>
      <c r="H220" s="128"/>
      <c r="I220" s="133"/>
      <c r="J220" s="128"/>
      <c r="K220" s="128"/>
      <c r="L220" s="144"/>
    </row>
    <row r="221" spans="2:15" ht="15.75">
      <c r="B221" s="132"/>
      <c r="C221" s="133"/>
      <c r="D221" s="221"/>
      <c r="E221" s="128"/>
      <c r="F221" s="128"/>
      <c r="G221" s="131"/>
      <c r="H221" s="128"/>
      <c r="I221" s="133"/>
      <c r="J221" s="128"/>
      <c r="K221" s="128"/>
      <c r="L221" s="128"/>
    </row>
    <row r="222" spans="2:15" ht="15.75">
      <c r="B222" s="132"/>
      <c r="C222" s="133"/>
      <c r="D222" s="221"/>
      <c r="E222" s="128"/>
      <c r="F222" s="128"/>
      <c r="G222" s="131"/>
      <c r="H222" s="128"/>
      <c r="I222" s="133"/>
      <c r="J222" s="128"/>
      <c r="K222" s="128"/>
      <c r="L222" s="128"/>
    </row>
    <row r="223" spans="2:15" ht="15.75">
      <c r="B223" s="132"/>
      <c r="C223" s="133"/>
      <c r="D223" s="221"/>
      <c r="E223" s="128"/>
      <c r="F223" s="128"/>
      <c r="G223" s="131"/>
      <c r="H223" s="128"/>
      <c r="I223" s="133"/>
      <c r="J223" s="128"/>
      <c r="K223" s="128"/>
      <c r="L223" s="128"/>
    </row>
    <row r="224" spans="2:15" ht="15.75">
      <c r="B224" s="132"/>
      <c r="C224" s="133"/>
      <c r="D224" s="128"/>
      <c r="E224" s="128"/>
      <c r="F224" s="128"/>
      <c r="G224" s="131"/>
      <c r="H224" s="128"/>
      <c r="I224" s="133"/>
      <c r="J224" s="128"/>
      <c r="K224" s="128"/>
      <c r="L224" s="221"/>
    </row>
    <row r="225" spans="2:12" ht="15.75">
      <c r="B225" s="132"/>
      <c r="C225" s="133"/>
      <c r="D225" s="221"/>
      <c r="E225" s="128"/>
      <c r="F225" s="128"/>
      <c r="G225" s="131"/>
      <c r="H225" s="128"/>
      <c r="I225" s="133"/>
      <c r="J225" s="128"/>
      <c r="K225" s="128"/>
      <c r="L225" s="128"/>
    </row>
    <row r="226" spans="2:12" ht="45">
      <c r="B226" s="132">
        <f>B217+1</f>
        <v>119</v>
      </c>
      <c r="C226" s="133"/>
      <c r="D226" s="128" t="s">
        <v>373</v>
      </c>
      <c r="E226" s="145" t="s">
        <v>145</v>
      </c>
      <c r="F226" s="145" t="s">
        <v>482</v>
      </c>
      <c r="G226" s="224" t="s">
        <v>504</v>
      </c>
      <c r="H226" s="187" t="s">
        <v>418</v>
      </c>
      <c r="I226" s="145"/>
      <c r="J226" s="131"/>
      <c r="K226" s="131"/>
      <c r="L226" s="131"/>
    </row>
    <row r="227" spans="2:12">
      <c r="B227" s="132">
        <f t="shared" ref="B227:B233" si="8">+B226+1</f>
        <v>120</v>
      </c>
      <c r="C227" s="133"/>
      <c r="D227" s="169" t="s">
        <v>320</v>
      </c>
      <c r="E227" s="131"/>
      <c r="F227" s="131"/>
      <c r="G227" s="144"/>
      <c r="H227" s="144"/>
      <c r="I227" s="145"/>
      <c r="J227" s="146"/>
      <c r="K227" s="131"/>
      <c r="L227" s="144"/>
    </row>
    <row r="228" spans="2:12">
      <c r="B228" s="132">
        <f t="shared" si="8"/>
        <v>121</v>
      </c>
      <c r="C228" s="133"/>
      <c r="D228" s="128" t="s">
        <v>427</v>
      </c>
      <c r="E228" s="131" t="s">
        <v>349</v>
      </c>
      <c r="F228" s="111">
        <v>0</v>
      </c>
      <c r="G228" s="111">
        <v>8269548.7572659235</v>
      </c>
      <c r="H228" s="225">
        <f>+F228+G228</f>
        <v>8269548.7572659235</v>
      </c>
      <c r="I228" s="133" t="s">
        <v>420</v>
      </c>
      <c r="J228" s="146">
        <f>L217</f>
        <v>0.97161951308616801</v>
      </c>
      <c r="K228" s="226"/>
      <c r="L228" s="144">
        <f>(F228+G228)*J228</f>
        <v>8034854.9369770428</v>
      </c>
    </row>
    <row r="229" spans="2:12">
      <c r="B229" s="132">
        <f t="shared" si="8"/>
        <v>122</v>
      </c>
      <c r="C229" s="133"/>
      <c r="D229" s="128" t="s">
        <v>550</v>
      </c>
      <c r="E229" s="131" t="s">
        <v>262</v>
      </c>
      <c r="F229" s="111">
        <v>0</v>
      </c>
      <c r="G229" s="111">
        <v>0</v>
      </c>
      <c r="H229" s="144">
        <f>+F229+G229</f>
        <v>0</v>
      </c>
      <c r="I229" s="145" t="s">
        <v>426</v>
      </c>
      <c r="J229" s="146">
        <v>0</v>
      </c>
      <c r="K229" s="226"/>
      <c r="L229" s="144">
        <f>(F229+G229)*J229</f>
        <v>0</v>
      </c>
    </row>
    <row r="230" spans="2:12">
      <c r="B230" s="132"/>
      <c r="C230" s="133"/>
      <c r="D230" s="128"/>
      <c r="E230" s="131"/>
      <c r="F230" s="111"/>
      <c r="G230" s="111"/>
      <c r="H230" s="225"/>
      <c r="I230" s="145"/>
      <c r="J230" s="146"/>
      <c r="K230" s="226"/>
      <c r="L230" s="144"/>
    </row>
    <row r="231" spans="2:12">
      <c r="B231" s="132">
        <f>+B229+1</f>
        <v>123</v>
      </c>
      <c r="C231" s="133"/>
      <c r="D231" s="169" t="s">
        <v>320</v>
      </c>
      <c r="E231" s="131"/>
      <c r="F231" s="131"/>
      <c r="G231" s="144"/>
      <c r="H231" s="144"/>
      <c r="I231" s="145"/>
      <c r="J231" s="146"/>
      <c r="K231" s="131"/>
      <c r="L231" s="144"/>
    </row>
    <row r="232" spans="2:12" ht="15.75" thickBot="1">
      <c r="B232" s="132">
        <f t="shared" si="8"/>
        <v>124</v>
      </c>
      <c r="C232" s="133"/>
      <c r="D232" s="128" t="s">
        <v>491</v>
      </c>
      <c r="E232" s="131" t="s">
        <v>214</v>
      </c>
      <c r="F232" s="987">
        <v>0</v>
      </c>
      <c r="G232" s="987">
        <v>0</v>
      </c>
      <c r="H232" s="175">
        <f>+F232+G232</f>
        <v>0</v>
      </c>
      <c r="I232" s="145" t="s">
        <v>426</v>
      </c>
      <c r="J232" s="146">
        <v>0</v>
      </c>
      <c r="K232" s="226"/>
      <c r="L232" s="175">
        <f>(F232+G232)*J232</f>
        <v>0</v>
      </c>
    </row>
    <row r="233" spans="2:12">
      <c r="B233" s="132">
        <f t="shared" si="8"/>
        <v>125</v>
      </c>
      <c r="C233" s="133"/>
      <c r="D233" s="128" t="s">
        <v>418</v>
      </c>
      <c r="E233" s="131" t="str">
        <f>"(sum lns "&amp;B228&amp;", "&amp;B229&amp;", &amp; "&amp;B232&amp;")"</f>
        <v>(sum lns 121, 122, &amp; 124)</v>
      </c>
      <c r="F233" s="144">
        <f>SUM(F227:F232)</f>
        <v>0</v>
      </c>
      <c r="G233" s="131">
        <f>SUM(G227:G232)</f>
        <v>8269548.7572659235</v>
      </c>
      <c r="H233" s="131">
        <f>SUM(H227:H232)</f>
        <v>8269548.7572659235</v>
      </c>
      <c r="I233" s="145"/>
      <c r="J233" s="131"/>
      <c r="K233" s="131"/>
      <c r="L233" s="144">
        <f>SUM(L227:L232)</f>
        <v>8034854.9369770428</v>
      </c>
    </row>
    <row r="234" spans="2:12">
      <c r="B234" s="132"/>
      <c r="C234" s="133"/>
      <c r="D234" s="128" t="s">
        <v>414</v>
      </c>
      <c r="E234" s="131" t="s">
        <v>414</v>
      </c>
      <c r="F234" s="131"/>
      <c r="H234" s="131"/>
      <c r="I234" s="187"/>
    </row>
    <row r="235" spans="2:12" ht="15.75">
      <c r="B235" s="132">
        <f>B233+1</f>
        <v>126</v>
      </c>
      <c r="C235" s="133"/>
      <c r="D235" s="128" t="s">
        <v>374</v>
      </c>
      <c r="E235" s="131"/>
      <c r="F235" s="131"/>
      <c r="G235" s="131"/>
      <c r="H235" s="131"/>
      <c r="I235" s="187"/>
      <c r="K235" s="227" t="s">
        <v>375</v>
      </c>
      <c r="L235" s="228">
        <f>L233/(F233+G233)</f>
        <v>0.97161951308616801</v>
      </c>
    </row>
    <row r="236" spans="2:12" ht="15.75">
      <c r="B236" s="132"/>
      <c r="C236" s="133"/>
      <c r="D236" s="128"/>
      <c r="E236" s="131"/>
      <c r="F236" s="131"/>
      <c r="G236" s="131"/>
      <c r="H236" s="131"/>
      <c r="I236" s="187"/>
      <c r="K236" s="227"/>
      <c r="L236" s="228"/>
    </row>
    <row r="237" spans="2:12" ht="15.75">
      <c r="B237" s="132"/>
      <c r="C237" s="133"/>
      <c r="D237" s="229" t="s">
        <v>157</v>
      </c>
      <c r="E237" s="131"/>
      <c r="F237" s="131"/>
      <c r="G237" s="131"/>
      <c r="H237" s="131"/>
      <c r="I237" s="145"/>
      <c r="J237" s="131"/>
      <c r="K237" s="131"/>
      <c r="L237" s="131"/>
    </row>
    <row r="238" spans="2:12" ht="15.75" thickBot="1">
      <c r="B238" s="132">
        <f>B235+1</f>
        <v>127</v>
      </c>
      <c r="C238" s="133"/>
      <c r="D238" s="128" t="s">
        <v>488</v>
      </c>
      <c r="E238" s="131"/>
      <c r="F238" s="131"/>
      <c r="G238" s="131"/>
      <c r="H238" s="131"/>
      <c r="I238" s="131"/>
      <c r="J238" s="131"/>
      <c r="K238" s="131"/>
      <c r="L238" s="230" t="s">
        <v>442</v>
      </c>
    </row>
    <row r="239" spans="2:12" ht="15.75">
      <c r="B239" s="132">
        <f>B238+1</f>
        <v>128</v>
      </c>
      <c r="C239" s="133"/>
      <c r="D239" s="131" t="s">
        <v>508</v>
      </c>
      <c r="E239" s="123" t="str">
        <f>"(Worksheet M, ln."&amp;'WS M - Cost of Capital'!A55&amp;", col."&amp;'WS M - Cost of Capital'!E47&amp;")"</f>
        <v>(Worksheet M, ln.36, col.(d))</v>
      </c>
      <c r="F239" s="131"/>
      <c r="G239" s="131"/>
      <c r="H239" s="131"/>
      <c r="I239" s="131"/>
      <c r="J239" s="167" t="s">
        <v>414</v>
      </c>
      <c r="K239" s="131"/>
      <c r="L239" s="231">
        <f>'WS M - Cost of Capital'!E55</f>
        <v>74323626.53816545</v>
      </c>
    </row>
    <row r="240" spans="2:12">
      <c r="B240" s="132">
        <f t="shared" ref="B240:B246" si="9">B239+1</f>
        <v>129</v>
      </c>
      <c r="C240" s="133"/>
      <c r="D240" s="131" t="s">
        <v>509</v>
      </c>
      <c r="E240" s="123" t="str">
        <f>"(Worksheet M, ln. "&amp;'WS M - Cost of Capital'!A75&amp;", col."&amp;'WS M - Cost of Capital'!E47&amp;")"</f>
        <v>(Worksheet M, ln. 45, col.(d))</v>
      </c>
      <c r="F240" s="131"/>
      <c r="G240" s="131"/>
      <c r="H240" s="131"/>
      <c r="I240" s="131"/>
      <c r="J240" s="131"/>
      <c r="K240" s="131"/>
      <c r="L240" s="144">
        <f>'WS M - Cost of Capital'!E75</f>
        <v>0</v>
      </c>
    </row>
    <row r="241" spans="2:12">
      <c r="B241" s="132">
        <f t="shared" si="9"/>
        <v>130</v>
      </c>
      <c r="C241" s="133"/>
      <c r="D241" s="232" t="s">
        <v>27</v>
      </c>
      <c r="E241" s="131"/>
      <c r="F241" s="131"/>
      <c r="G241" s="131"/>
      <c r="H241" s="3"/>
      <c r="I241" s="131"/>
      <c r="J241" s="131"/>
      <c r="K241" s="131"/>
      <c r="L241" s="144"/>
    </row>
    <row r="242" spans="2:12">
      <c r="B242" s="132">
        <f t="shared" si="9"/>
        <v>131</v>
      </c>
      <c r="C242" s="133"/>
      <c r="D242" s="131" t="s">
        <v>28</v>
      </c>
      <c r="E242" s="123" t="str">
        <f>"(Worksheet M, ln. "&amp;'WS M - Cost of Capital'!A23&amp;", col."&amp;'WS M - Cost of Capital'!C8&amp;")"</f>
        <v>(Worksheet M, ln. 14, col.(b))</v>
      </c>
      <c r="F242" s="131"/>
      <c r="G242" s="128"/>
      <c r="H242" s="3"/>
      <c r="I242" s="131"/>
      <c r="J242" s="131"/>
      <c r="K242" s="131"/>
      <c r="L242" s="144">
        <f>'WS M - Cost of Capital'!C23</f>
        <v>2127089677.5135083</v>
      </c>
    </row>
    <row r="243" spans="2:12">
      <c r="B243" s="132">
        <f t="shared" si="9"/>
        <v>132</v>
      </c>
      <c r="C243" s="133"/>
      <c r="D243" s="131" t="s">
        <v>171</v>
      </c>
      <c r="E243" s="123" t="str">
        <f>"(Worksheet M, ln. "&amp;'WS M - Cost of Capital'!A23&amp;", col."&amp;'WS M - Cost of Capital'!D8&amp;")"</f>
        <v>(Worksheet M, ln. 14, col.(c))</v>
      </c>
      <c r="F243" s="131"/>
      <c r="G243" s="131"/>
      <c r="H243" s="3"/>
      <c r="I243" s="131"/>
      <c r="J243" s="131"/>
      <c r="K243" s="131"/>
      <c r="L243" s="144">
        <f>'WS M - Cost of Capital'!D23</f>
        <v>0</v>
      </c>
    </row>
    <row r="244" spans="2:12">
      <c r="B244" s="132">
        <f t="shared" si="9"/>
        <v>133</v>
      </c>
      <c r="C244" s="133"/>
      <c r="D244" s="131" t="s">
        <v>164</v>
      </c>
      <c r="E244" s="123" t="str">
        <f>"(Worksheet M, ln. "&amp;'WS M - Cost of Capital'!A23&amp;", col."&amp;'WS M - Cost of Capital'!E8&amp;")"</f>
        <v>(Worksheet M, ln. 14, col.(d))</v>
      </c>
      <c r="F244" s="131"/>
      <c r="G244" s="131"/>
      <c r="H244" s="3"/>
      <c r="I244" s="131"/>
      <c r="J244" s="131"/>
      <c r="K244" s="131"/>
      <c r="L244" s="144">
        <f>'WS M - Cost of Capital'!E23</f>
        <v>0</v>
      </c>
    </row>
    <row r="245" spans="2:12">
      <c r="B245" s="132">
        <f t="shared" si="9"/>
        <v>134</v>
      </c>
      <c r="C245" s="133"/>
      <c r="D245" s="131" t="s">
        <v>170</v>
      </c>
      <c r="E245" s="123" t="str">
        <f>"(Worksheet M, ln. "&amp;'WS M - Cost of Capital'!A23&amp;", col."&amp;'WS M - Cost of Capital'!F8&amp;")"</f>
        <v>(Worksheet M, ln. 14, col.(e))</v>
      </c>
      <c r="F245" s="131"/>
      <c r="G245" s="131"/>
      <c r="H245" s="3"/>
      <c r="I245" s="131"/>
      <c r="J245" s="131"/>
      <c r="K245" s="131"/>
      <c r="L245" s="885">
        <f>'WS M - Cost of Capital'!F23</f>
        <v>0</v>
      </c>
    </row>
    <row r="246" spans="2:12">
      <c r="B246" s="132">
        <f t="shared" si="9"/>
        <v>135</v>
      </c>
      <c r="C246" s="133"/>
      <c r="D246" s="123" t="s">
        <v>29</v>
      </c>
      <c r="E246" s="233" t="str">
        <f>"(ln "&amp;B242&amp;" - ln "&amp;B243&amp;" - ln "&amp;B244&amp;" - ln "&amp;B245&amp;")"</f>
        <v>(ln 131 - ln 132 - ln 133 - ln 134)</v>
      </c>
      <c r="F246" s="140"/>
      <c r="H246" s="128"/>
      <c r="I246" s="128"/>
      <c r="J246" s="128"/>
      <c r="K246" s="128"/>
      <c r="L246" s="144">
        <f>L242-L243-L244-L245</f>
        <v>2127089677.5135083</v>
      </c>
    </row>
    <row r="247" spans="2:12" ht="15.75">
      <c r="B247" s="132"/>
      <c r="C247" s="133"/>
      <c r="D247" s="128"/>
      <c r="E247" s="131"/>
      <c r="F247" s="131"/>
      <c r="G247" s="1113" t="s">
        <v>272</v>
      </c>
      <c r="H247" s="1113"/>
      <c r="I247" s="131"/>
      <c r="J247" s="187" t="s">
        <v>443</v>
      </c>
      <c r="K247" s="131"/>
      <c r="L247" s="131"/>
    </row>
    <row r="248" spans="2:12" ht="15.75" thickBot="1">
      <c r="B248" s="132"/>
      <c r="C248" s="133"/>
      <c r="D248" s="128"/>
      <c r="F248" s="131"/>
      <c r="G248" s="139" t="s">
        <v>442</v>
      </c>
      <c r="H248" s="139" t="s">
        <v>444</v>
      </c>
      <c r="I248" s="230" t="s">
        <v>829</v>
      </c>
      <c r="J248" s="234" t="s">
        <v>552</v>
      </c>
      <c r="K248" s="131"/>
      <c r="L248" s="139" t="s">
        <v>445</v>
      </c>
    </row>
    <row r="249" spans="2:12" ht="15.75">
      <c r="B249" s="132">
        <f>B246+1</f>
        <v>136</v>
      </c>
      <c r="C249" s="133"/>
      <c r="D249" s="128" t="str">
        <f>"  Long Term Debt  (Note S) Worksheet M, ln "&amp;'WS M - Cost of Capital'!A42&amp;", col. (g), ln "&amp;'WS M - Cost of Capital'!A57&amp;", col. "&amp;'WS M - Cost of Capital'!E47&amp;")"</f>
        <v xml:space="preserve">  Long Term Debt  (Note S) Worksheet M, ln 28, col. (g), ln 37, col. (d))</v>
      </c>
      <c r="F249" s="167" t="s">
        <v>414</v>
      </c>
      <c r="G249" s="144">
        <f>'WS M - Cost of Capital'!H42</f>
        <v>1738814245.2238491</v>
      </c>
      <c r="H249" s="939">
        <f>IF($G$252=0,0,G249/$G$252)</f>
        <v>0.44978206390412179</v>
      </c>
      <c r="I249" s="945">
        <f>IF(H251&gt;E254,1-I251,H249)</f>
        <v>0.44999999999999996</v>
      </c>
      <c r="J249" s="153">
        <f>IF(G249=0,0,L239/G249)</f>
        <v>4.2743856477088657E-2</v>
      </c>
      <c r="L249" s="235">
        <f>I249*J249</f>
        <v>1.9234735414689893E-2</v>
      </c>
    </row>
    <row r="250" spans="2:12">
      <c r="B250" s="132">
        <f>B249+1</f>
        <v>137</v>
      </c>
      <c r="C250" s="133"/>
      <c r="D250" s="128" t="str">
        <f>"  Preferred Stock (ln "&amp;B243&amp;")"</f>
        <v xml:space="preserve">  Preferred Stock (ln 132)</v>
      </c>
      <c r="G250" s="144">
        <f>L243</f>
        <v>0</v>
      </c>
      <c r="H250" s="153">
        <f>IF($G$252=0,0,G250/$G$252)</f>
        <v>0</v>
      </c>
      <c r="I250" s="945">
        <f>H250</f>
        <v>0</v>
      </c>
      <c r="J250" s="153">
        <f>IF(G250=0,0,L240/G250)</f>
        <v>0</v>
      </c>
      <c r="L250" s="236">
        <f>H250*J250</f>
        <v>0</v>
      </c>
    </row>
    <row r="251" spans="2:12" ht="15.75" thickBot="1">
      <c r="B251" s="132">
        <f>B250+1</f>
        <v>138</v>
      </c>
      <c r="C251" s="133"/>
      <c r="D251" s="128" t="str">
        <f>"  Common Stock (ln "&amp;B246&amp;")"</f>
        <v xml:space="preserve">  Common Stock (ln 135)</v>
      </c>
      <c r="G251" s="175">
        <f>L246</f>
        <v>2127089677.5135083</v>
      </c>
      <c r="H251" s="237">
        <f>IF($G$252=0,0,G251/$G$252)</f>
        <v>0.55021793609587832</v>
      </c>
      <c r="I251" s="945">
        <f>IF(H251&gt;E254,E254,H251)</f>
        <v>0.55000000000000004</v>
      </c>
      <c r="J251" s="283">
        <v>0.10349999999999999</v>
      </c>
      <c r="L251" s="1069">
        <f>IF(H251&gt;0.55,I251*J251,H251*J251)</f>
        <v>5.6925000000000003E-2</v>
      </c>
    </row>
    <row r="252" spans="2:12" ht="15.75">
      <c r="B252" s="132">
        <f>B251+1</f>
        <v>139</v>
      </c>
      <c r="C252" s="133"/>
      <c r="D252" s="128" t="str">
        <f>" Total (Sum lns "&amp;B249&amp;" to "&amp;B251&amp;")"</f>
        <v xml:space="preserve"> Total (Sum lns 136 to 138)</v>
      </c>
      <c r="G252" s="144">
        <f>SUM(G249:G251)</f>
        <v>3865903922.7373571</v>
      </c>
      <c r="H252" s="154">
        <f>SUM(H249:H251)</f>
        <v>1</v>
      </c>
      <c r="I252" s="131"/>
      <c r="J252" s="238"/>
      <c r="K252" s="181" t="s">
        <v>362</v>
      </c>
      <c r="L252" s="938">
        <f>SUM(L249:L251)</f>
        <v>7.61597354146899E-2</v>
      </c>
    </row>
    <row r="253" spans="2:12" ht="15.75">
      <c r="B253" s="132"/>
      <c r="C253" s="133"/>
      <c r="D253" s="128"/>
      <c r="G253" s="144"/>
      <c r="H253" s="154"/>
      <c r="I253" s="131"/>
      <c r="J253" s="238"/>
      <c r="K253" s="181"/>
      <c r="L253" s="938"/>
    </row>
    <row r="254" spans="2:12">
      <c r="B254" s="132">
        <f>B252+1</f>
        <v>140</v>
      </c>
      <c r="C254" s="133"/>
      <c r="D254" s="128" t="s">
        <v>828</v>
      </c>
      <c r="E254" s="945">
        <v>0.55000000000000004</v>
      </c>
      <c r="F254" s="131"/>
      <c r="G254" s="131"/>
      <c r="H254" s="131"/>
      <c r="I254" s="145"/>
      <c r="J254" s="131"/>
      <c r="K254" s="131"/>
      <c r="L254" s="131"/>
    </row>
    <row r="255" spans="2:12" ht="15.75" hidden="1">
      <c r="B255" s="239"/>
      <c r="C255" s="240"/>
      <c r="D255" s="241" t="s">
        <v>223</v>
      </c>
      <c r="E255" s="242"/>
      <c r="F255" s="243"/>
      <c r="G255" s="244"/>
      <c r="H255" s="243"/>
      <c r="I255" s="243"/>
      <c r="J255" s="243"/>
      <c r="K255" s="245"/>
      <c r="L255" s="246"/>
    </row>
    <row r="256" spans="2:12" ht="15.75" hidden="1" thickBot="1">
      <c r="B256" s="239">
        <f>B252+1</f>
        <v>140</v>
      </c>
      <c r="C256" s="240"/>
      <c r="D256" s="247" t="s">
        <v>488</v>
      </c>
      <c r="E256" s="243"/>
      <c r="F256" s="243"/>
      <c r="G256" s="243"/>
      <c r="H256" s="243"/>
      <c r="I256" s="243"/>
      <c r="J256" s="243"/>
      <c r="K256" s="243"/>
      <c r="L256" s="248" t="s">
        <v>442</v>
      </c>
    </row>
    <row r="257" spans="2:20" hidden="1">
      <c r="B257" s="239">
        <f t="shared" ref="B257:B264" si="10">+B256+1</f>
        <v>141</v>
      </c>
      <c r="C257" s="240"/>
      <c r="D257" s="243" t="s">
        <v>508</v>
      </c>
      <c r="E257" s="244" t="str">
        <f>"(Worksheet Q, ln. "&amp;'WS Q Cap Structure'!A199&amp;")"</f>
        <v>(Worksheet Q, ln. 132)</v>
      </c>
      <c r="F257" s="243"/>
      <c r="G257" s="243"/>
      <c r="H257" s="243"/>
      <c r="I257" s="243"/>
      <c r="J257" s="243"/>
      <c r="K257" s="243"/>
      <c r="L257" s="249">
        <f>'WS Q Cap Structure'!J199</f>
        <v>0</v>
      </c>
    </row>
    <row r="258" spans="2:20" hidden="1">
      <c r="B258" s="239">
        <f t="shared" si="10"/>
        <v>142</v>
      </c>
      <c r="C258" s="240"/>
      <c r="D258" s="243" t="s">
        <v>509</v>
      </c>
      <c r="E258" s="244" t="str">
        <f>"(Worksheet Q, ln. "&amp;'WS Q Cap Structure'!A203&amp;")"</f>
        <v>(Worksheet Q, ln. 134)</v>
      </c>
      <c r="F258" s="243"/>
      <c r="G258" s="243"/>
      <c r="H258" s="243"/>
      <c r="I258" s="243"/>
      <c r="J258" s="243"/>
      <c r="K258" s="243"/>
      <c r="L258" s="249">
        <f>'WS Q Cap Structure'!J203</f>
        <v>0</v>
      </c>
    </row>
    <row r="259" spans="2:20" hidden="1">
      <c r="B259" s="239">
        <f t="shared" si="10"/>
        <v>143</v>
      </c>
      <c r="C259" s="240"/>
      <c r="D259" s="250" t="s">
        <v>27</v>
      </c>
      <c r="E259" s="243"/>
      <c r="F259" s="243"/>
      <c r="G259" s="243"/>
      <c r="H259" s="251"/>
      <c r="I259" s="243"/>
      <c r="J259" s="243"/>
      <c r="K259" s="243"/>
      <c r="L259" s="249"/>
    </row>
    <row r="260" spans="2:20" hidden="1">
      <c r="B260" s="239">
        <f t="shared" si="10"/>
        <v>144</v>
      </c>
      <c r="C260" s="240"/>
      <c r="D260" s="243" t="s">
        <v>28</v>
      </c>
      <c r="E260" s="244" t="str">
        <f>"(Worksheet Q, ln. "&amp;'WS Q Cap Structure'!A206&amp;")"</f>
        <v>(Worksheet Q, ln. 135)</v>
      </c>
      <c r="F260" s="243"/>
      <c r="G260" s="247"/>
      <c r="H260" s="252"/>
      <c r="I260" s="243"/>
      <c r="J260" s="243"/>
      <c r="K260" s="243"/>
      <c r="L260" s="253" t="e">
        <f>'WS Q Cap Structure'!J206</f>
        <v>#DIV/0!</v>
      </c>
    </row>
    <row r="261" spans="2:20" hidden="1">
      <c r="B261" s="239">
        <f t="shared" si="10"/>
        <v>145</v>
      </c>
      <c r="C261" s="240"/>
      <c r="D261" s="243" t="s">
        <v>171</v>
      </c>
      <c r="E261" s="244" t="str">
        <f>"(Worksheet Q, ln. "&amp;'WS Q Cap Structure'!A207&amp;")"</f>
        <v>(Worksheet Q, ln. 136)</v>
      </c>
      <c r="F261" s="243"/>
      <c r="G261" s="243"/>
      <c r="H261" s="252"/>
      <c r="I261" s="243"/>
      <c r="J261" s="243"/>
      <c r="K261" s="243"/>
      <c r="L261" s="253">
        <f>'WS Q Cap Structure'!J207</f>
        <v>0</v>
      </c>
    </row>
    <row r="262" spans="2:20" hidden="1">
      <c r="B262" s="239">
        <f>+B261+1</f>
        <v>146</v>
      </c>
      <c r="C262" s="240"/>
      <c r="D262" s="243" t="s">
        <v>164</v>
      </c>
      <c r="E262" s="244" t="str">
        <f>"(Worksheet Q, ln. "&amp;'WS Q Cap Structure'!A208&amp;")"</f>
        <v>(Worksheet Q, ln. 137)</v>
      </c>
      <c r="F262" s="243"/>
      <c r="G262" s="243"/>
      <c r="H262" s="252"/>
      <c r="I262" s="243"/>
      <c r="J262" s="243"/>
      <c r="K262" s="243"/>
      <c r="L262" s="253" t="e">
        <f>'WS Q Cap Structure'!J208</f>
        <v>#DIV/0!</v>
      </c>
    </row>
    <row r="263" spans="2:20" ht="15.75" hidden="1" thickBot="1">
      <c r="B263" s="239">
        <f t="shared" si="10"/>
        <v>147</v>
      </c>
      <c r="C263" s="240"/>
      <c r="D263" s="243" t="s">
        <v>170</v>
      </c>
      <c r="E263" s="244" t="str">
        <f>"(Worksheet Q, ln. "&amp;'WS Q Cap Structure'!A209&amp;")"</f>
        <v>(Worksheet Q, ln. 138)</v>
      </c>
      <c r="F263" s="243"/>
      <c r="G263" s="243"/>
      <c r="H263" s="252"/>
      <c r="I263" s="243"/>
      <c r="J263" s="254"/>
      <c r="K263" s="243"/>
      <c r="L263" s="255" t="e">
        <f>'WS Q Cap Structure'!J209</f>
        <v>#DIV/0!</v>
      </c>
    </row>
    <row r="264" spans="2:20" hidden="1">
      <c r="B264" s="239">
        <f t="shared" si="10"/>
        <v>148</v>
      </c>
      <c r="C264" s="240"/>
      <c r="D264" s="244" t="s">
        <v>29</v>
      </c>
      <c r="E264" s="243" t="str">
        <f>"(ln "&amp;B260&amp;" - ln "&amp;B261&amp;" - ln "&amp;B262&amp;" - ln "&amp;B263&amp;")"</f>
        <v>(ln 144 - ln 145 - ln 146 - ln 147)</v>
      </c>
      <c r="F264" s="242"/>
      <c r="G264" s="244"/>
      <c r="H264" s="247"/>
      <c r="I264" s="247"/>
      <c r="J264" s="247"/>
      <c r="K264" s="247"/>
      <c r="L264" s="249" t="e">
        <f>+L260-L261-L262-L263</f>
        <v>#DIV/0!</v>
      </c>
    </row>
    <row r="265" spans="2:20" ht="15.75" hidden="1">
      <c r="B265" s="239"/>
      <c r="C265" s="240"/>
      <c r="D265" s="247"/>
      <c r="E265" s="243"/>
      <c r="F265" s="243"/>
      <c r="G265" s="1112"/>
      <c r="H265" s="1112"/>
      <c r="I265" s="256"/>
      <c r="J265" s="244"/>
      <c r="K265" s="243"/>
      <c r="L265" s="243"/>
    </row>
    <row r="266" spans="2:20" ht="15.75" hidden="1" thickBot="1">
      <c r="B266" s="239">
        <f>+B264+1</f>
        <v>149</v>
      </c>
      <c r="C266" s="240"/>
      <c r="D266" s="247"/>
      <c r="E266" s="244"/>
      <c r="F266" s="244"/>
      <c r="G266" s="257" t="s">
        <v>444</v>
      </c>
      <c r="H266" s="257" t="s">
        <v>442</v>
      </c>
      <c r="I266" s="256"/>
      <c r="J266" s="258" t="s">
        <v>443</v>
      </c>
      <c r="K266" s="243"/>
      <c r="L266" s="257" t="s">
        <v>445</v>
      </c>
      <c r="M266" s="128"/>
      <c r="N266" s="128"/>
      <c r="O266" s="128"/>
      <c r="P266" s="128"/>
      <c r="Q266" s="128"/>
      <c r="R266" s="128"/>
      <c r="S266" s="128"/>
      <c r="T266" s="128"/>
    </row>
    <row r="267" spans="2:20" hidden="1">
      <c r="B267" s="239">
        <f>+B266+1</f>
        <v>150</v>
      </c>
      <c r="C267" s="240"/>
      <c r="D267" s="247" t="str">
        <f>"  Long Term Debt   (Worksheet Q, ln "&amp;'WS Q Cap Structure'!A213&amp;")"</f>
        <v xml:space="preserve">  Long Term Debt   (Worksheet Q, ln 140)</v>
      </c>
      <c r="E267" s="244"/>
      <c r="F267" s="244"/>
      <c r="G267" s="259" t="e">
        <f>'WS Q Cap Structure'!J218</f>
        <v>#DIV/0!</v>
      </c>
      <c r="H267" s="249" t="e">
        <f>$H$270*G267</f>
        <v>#DIV/0!</v>
      </c>
      <c r="I267" s="260"/>
      <c r="J267" s="254" t="e">
        <f>+L257/H267</f>
        <v>#DIV/0!</v>
      </c>
      <c r="K267" s="244"/>
      <c r="L267" s="261" t="e">
        <f>+G267*J267</f>
        <v>#DIV/0!</v>
      </c>
      <c r="M267" s="128"/>
      <c r="N267" s="128"/>
      <c r="O267" s="128"/>
      <c r="P267" s="128"/>
      <c r="Q267" s="128"/>
      <c r="R267" s="128"/>
      <c r="S267" s="128"/>
      <c r="T267" s="128"/>
    </row>
    <row r="268" spans="2:20" hidden="1">
      <c r="B268" s="239">
        <f>+B267+1</f>
        <v>151</v>
      </c>
      <c r="C268" s="240"/>
      <c r="D268" s="247" t="str">
        <f>"  Preferred Stock (Worksheet Q, ln "&amp;'WS Q Cap Structure'!A214&amp;")"</f>
        <v xml:space="preserve">  Preferred Stock (Worksheet Q, ln 141)</v>
      </c>
      <c r="E268" s="244"/>
      <c r="F268" s="244"/>
      <c r="G268" s="259" t="e">
        <f>'WS Q Cap Structure'!J219</f>
        <v>#DIV/0!</v>
      </c>
      <c r="H268" s="249" t="e">
        <f>$H$270*G268</f>
        <v>#DIV/0!</v>
      </c>
      <c r="I268" s="260"/>
      <c r="J268" s="254">
        <f>IF(L258=0,0,+L258/H268)</f>
        <v>0</v>
      </c>
      <c r="K268" s="244"/>
      <c r="L268" s="262" t="e">
        <f>+G268*J268</f>
        <v>#DIV/0!</v>
      </c>
    </row>
    <row r="269" spans="2:20" ht="15.75" hidden="1" thickBot="1">
      <c r="B269" s="239">
        <f>+B268+1</f>
        <v>152</v>
      </c>
      <c r="C269" s="240"/>
      <c r="D269" s="247" t="str">
        <f>"  Common Stock (Worksheet Q, ln "&amp;'WS Q Cap Structure'!A215&amp;")"</f>
        <v xml:space="preserve">  Common Stock (Worksheet Q, ln 142)</v>
      </c>
      <c r="E269" s="244"/>
      <c r="F269" s="244"/>
      <c r="G269" s="259" t="e">
        <f>'WS Q Cap Structure'!J220</f>
        <v>#DIV/0!</v>
      </c>
      <c r="H269" s="263" t="e">
        <f>$H$270*G269</f>
        <v>#DIV/0!</v>
      </c>
      <c r="I269" s="260"/>
      <c r="J269" s="120">
        <v>0.1149</v>
      </c>
      <c r="K269" s="244"/>
      <c r="L269" s="264" t="e">
        <f>+G269*J269</f>
        <v>#DIV/0!</v>
      </c>
    </row>
    <row r="270" spans="2:20" ht="15.75" hidden="1">
      <c r="B270" s="239">
        <f>+B269+1</f>
        <v>153</v>
      </c>
      <c r="C270" s="240"/>
      <c r="D270" s="247" t="str">
        <f>" Total (Worksheet Q, ln "&amp;'WS Q Cap Structure'!A216&amp;")"</f>
        <v xml:space="preserve"> Total (Worksheet Q, ln 143)</v>
      </c>
      <c r="E270" s="244"/>
      <c r="F270" s="244"/>
      <c r="G270" s="244"/>
      <c r="H270" s="249" t="e">
        <f>'WS Q Cap Structure'!J216</f>
        <v>#DIV/0!</v>
      </c>
      <c r="I270" s="256"/>
      <c r="J270" s="265"/>
      <c r="K270" s="266" t="s">
        <v>362</v>
      </c>
      <c r="L270" s="267" t="e">
        <f>SUM(L267:L269)</f>
        <v>#DIV/0!</v>
      </c>
    </row>
    <row r="271" spans="2:20">
      <c r="B271" s="132"/>
      <c r="C271" s="41"/>
      <c r="D271" s="3"/>
      <c r="E271" s="41"/>
      <c r="F271"/>
      <c r="G271"/>
      <c r="H271"/>
      <c r="I271"/>
      <c r="J271" s="129"/>
      <c r="K271" s="129"/>
      <c r="L271" s="129"/>
      <c r="M271" s="128"/>
      <c r="N271" s="128"/>
      <c r="O271" s="128"/>
      <c r="P271" s="128"/>
      <c r="Q271" s="128"/>
      <c r="R271" s="128"/>
      <c r="S271" s="128"/>
      <c r="T271" s="128"/>
    </row>
    <row r="272" spans="2:20">
      <c r="B272" s="132"/>
      <c r="C272" s="41"/>
      <c r="D272" s="41"/>
      <c r="E272"/>
      <c r="F272"/>
      <c r="G272"/>
      <c r="H272"/>
      <c r="I272"/>
      <c r="J272" s="131"/>
      <c r="K272" s="128"/>
      <c r="L272" s="131"/>
      <c r="M272" s="128"/>
      <c r="N272" s="128"/>
      <c r="O272" s="128"/>
      <c r="P272" s="128"/>
      <c r="Q272" s="128"/>
      <c r="R272" s="128"/>
      <c r="S272" s="128"/>
      <c r="T272" s="128"/>
    </row>
    <row r="273" spans="2:20" ht="15.75">
      <c r="B273" s="186"/>
      <c r="C273" s="133"/>
      <c r="D273" s="124"/>
      <c r="E273" s="124"/>
      <c r="F273" s="187" t="str">
        <f>F202</f>
        <v>AEPTCo subsidiaries in PJM</v>
      </c>
      <c r="G273" s="125"/>
      <c r="H273" s="131"/>
      <c r="I273" s="131"/>
      <c r="J273" s="131"/>
      <c r="K273" s="128"/>
      <c r="L273" s="131"/>
      <c r="M273" s="128"/>
      <c r="N273" s="128"/>
      <c r="O273" s="128"/>
      <c r="P273" s="128"/>
      <c r="Q273" s="128"/>
      <c r="R273" s="128"/>
      <c r="S273" s="128"/>
      <c r="T273" s="128"/>
    </row>
    <row r="274" spans="2:20">
      <c r="B274" s="186"/>
      <c r="C274" s="133"/>
      <c r="E274" s="133"/>
      <c r="F274" s="187" t="str">
        <f>F203</f>
        <v>Transmission Cost of Service Formula Rate</v>
      </c>
      <c r="G274" s="131"/>
      <c r="H274" s="131"/>
      <c r="I274" s="131"/>
      <c r="J274" s="131"/>
      <c r="K274" s="128"/>
      <c r="L274" s="141"/>
      <c r="M274" s="128"/>
      <c r="N274" s="128"/>
      <c r="O274" s="128"/>
      <c r="P274" s="128"/>
      <c r="Q274" s="128"/>
      <c r="R274" s="128"/>
      <c r="S274" s="128"/>
      <c r="T274" s="128"/>
    </row>
    <row r="275" spans="2:20" ht="15.75">
      <c r="B275" s="186"/>
      <c r="C275" s="133"/>
      <c r="E275" s="188"/>
      <c r="F275" s="187" t="str">
        <f>F204</f>
        <v>Utilizing  Actual/Projected FERC Form 1 Data</v>
      </c>
      <c r="G275" s="131"/>
      <c r="H275" s="131"/>
      <c r="I275" s="131"/>
      <c r="J275" s="131"/>
      <c r="K275" s="128"/>
      <c r="L275" s="141"/>
      <c r="M275" s="128"/>
      <c r="N275" s="128"/>
      <c r="O275" s="128"/>
      <c r="P275" s="128"/>
      <c r="Q275" s="128"/>
      <c r="R275" s="128"/>
      <c r="S275" s="128"/>
      <c r="T275" s="128"/>
    </row>
    <row r="276" spans="2:20" ht="15.75">
      <c r="B276" s="132"/>
      <c r="C276" s="133"/>
      <c r="E276" s="188"/>
      <c r="F276" s="187"/>
      <c r="G276" s="131"/>
      <c r="H276" s="131"/>
      <c r="I276" s="131"/>
      <c r="J276" s="131"/>
      <c r="K276" s="128"/>
      <c r="L276" s="141"/>
      <c r="M276" s="128"/>
      <c r="N276" s="128"/>
      <c r="O276" s="128"/>
      <c r="P276" s="128"/>
      <c r="Q276" s="128"/>
      <c r="R276" s="128"/>
      <c r="S276" s="128"/>
      <c r="T276" s="128"/>
    </row>
    <row r="277" spans="2:20" ht="15.75">
      <c r="B277" s="132"/>
      <c r="C277" s="133"/>
      <c r="E277" s="188"/>
      <c r="F277" s="187" t="str">
        <f>F206</f>
        <v>AEP Indiana Michigan Transmission Company</v>
      </c>
      <c r="G277" s="131"/>
      <c r="H277" s="131"/>
      <c r="I277" s="131"/>
      <c r="J277" s="131"/>
      <c r="K277" s="128"/>
      <c r="L277" s="141"/>
      <c r="M277" s="128"/>
      <c r="N277" s="128"/>
      <c r="O277" s="128"/>
      <c r="P277" s="128"/>
      <c r="Q277" s="128"/>
      <c r="R277" s="128"/>
      <c r="S277" s="128"/>
      <c r="T277" s="128"/>
    </row>
    <row r="278" spans="2:20" ht="15.75">
      <c r="B278" s="132"/>
      <c r="C278" s="133"/>
      <c r="E278" s="188"/>
      <c r="F278" s="187"/>
      <c r="G278" s="131"/>
      <c r="H278" s="131"/>
      <c r="I278" s="131"/>
      <c r="J278" s="131"/>
      <c r="K278" s="128"/>
      <c r="L278" s="141"/>
      <c r="M278" s="128"/>
      <c r="N278" s="128"/>
      <c r="O278" s="128"/>
      <c r="P278" s="128"/>
      <c r="Q278" s="128"/>
      <c r="R278" s="128"/>
      <c r="S278" s="128"/>
      <c r="T278" s="128"/>
    </row>
    <row r="279" spans="2:20" ht="15.75">
      <c r="B279" s="166" t="s">
        <v>474</v>
      </c>
      <c r="C279" s="133"/>
      <c r="D279" s="128"/>
      <c r="E279" s="128"/>
      <c r="F279" s="166" t="s">
        <v>473</v>
      </c>
      <c r="G279" s="131"/>
      <c r="H279" s="131"/>
      <c r="I279" s="131"/>
      <c r="J279" s="131" t="s">
        <v>623</v>
      </c>
      <c r="K279" s="128"/>
      <c r="L279" s="131"/>
      <c r="M279" s="128"/>
      <c r="N279" s="128"/>
      <c r="O279" s="128"/>
      <c r="P279" s="128"/>
      <c r="Q279" s="128"/>
      <c r="R279" s="128"/>
      <c r="S279" s="128"/>
      <c r="T279" s="128"/>
    </row>
    <row r="280" spans="2:20">
      <c r="C280" s="133"/>
      <c r="L280" s="141"/>
      <c r="M280" s="128"/>
      <c r="N280" s="128"/>
      <c r="O280" s="128"/>
      <c r="P280" s="128"/>
      <c r="Q280" s="128"/>
      <c r="R280" s="128"/>
      <c r="S280" s="128"/>
      <c r="T280" s="128"/>
    </row>
    <row r="281" spans="2:20">
      <c r="B281" s="132"/>
      <c r="C281" s="133"/>
      <c r="D281" s="128" t="s">
        <v>332</v>
      </c>
      <c r="E281" s="133"/>
      <c r="F281" s="133"/>
      <c r="G281" s="131"/>
      <c r="H281" s="131"/>
      <c r="I281" s="131"/>
      <c r="J281" s="131"/>
      <c r="K281" s="128"/>
      <c r="L281" s="131"/>
      <c r="M281" s="128"/>
      <c r="N281" s="128"/>
      <c r="O281" s="128"/>
      <c r="P281" s="128"/>
      <c r="Q281" s="128"/>
      <c r="R281" s="128"/>
      <c r="S281" s="128"/>
      <c r="T281" s="128"/>
    </row>
    <row r="282" spans="2:20">
      <c r="B282" s="123"/>
      <c r="D282" s="128"/>
      <c r="E282" s="128"/>
      <c r="F282" s="128"/>
      <c r="G282" s="131"/>
      <c r="H282" s="131"/>
      <c r="I282" s="131"/>
      <c r="J282" s="131"/>
      <c r="K282" s="128"/>
      <c r="L282" s="131"/>
      <c r="M282" s="128"/>
      <c r="N282" s="128"/>
      <c r="O282" s="128"/>
      <c r="P282" s="128"/>
      <c r="Q282" s="128"/>
      <c r="R282" s="128"/>
      <c r="S282" s="128"/>
      <c r="T282" s="128"/>
    </row>
    <row r="283" spans="2:20">
      <c r="B283" s="123"/>
      <c r="D283" s="128"/>
      <c r="E283" s="128"/>
      <c r="F283" s="128"/>
      <c r="G283" s="131"/>
      <c r="H283" s="131"/>
      <c r="I283" s="131"/>
      <c r="J283" s="131"/>
      <c r="K283" s="128"/>
      <c r="L283" s="131"/>
      <c r="M283" s="128"/>
      <c r="N283" s="128"/>
      <c r="O283" s="128"/>
      <c r="P283" s="128"/>
      <c r="Q283" s="128"/>
      <c r="R283" s="128"/>
      <c r="S283" s="128"/>
      <c r="T283" s="128"/>
    </row>
    <row r="284" spans="2:20">
      <c r="B284" s="268" t="s">
        <v>446</v>
      </c>
      <c r="C284" s="133"/>
      <c r="D284" s="128" t="s">
        <v>274</v>
      </c>
      <c r="E284" s="128"/>
      <c r="F284" s="128"/>
      <c r="G284" s="131"/>
      <c r="H284" s="131"/>
      <c r="I284" s="131"/>
      <c r="J284" s="131"/>
      <c r="K284" s="128"/>
      <c r="L284" s="131"/>
      <c r="M284" s="128"/>
      <c r="N284" s="128"/>
      <c r="O284" s="128"/>
      <c r="P284" s="128"/>
      <c r="Q284" s="128"/>
      <c r="R284" s="128"/>
      <c r="S284" s="128"/>
      <c r="T284" s="128"/>
    </row>
    <row r="285" spans="2:20">
      <c r="B285" s="268"/>
      <c r="C285" s="187"/>
      <c r="D285" s="128" t="s">
        <v>172</v>
      </c>
      <c r="E285" s="128"/>
      <c r="F285" s="128"/>
      <c r="G285" s="128"/>
      <c r="H285" s="128"/>
      <c r="I285" s="128"/>
      <c r="J285" s="128"/>
      <c r="K285" s="128"/>
      <c r="L285" s="128"/>
      <c r="M285" s="128"/>
      <c r="N285" s="128"/>
      <c r="O285" s="128"/>
      <c r="P285" s="128"/>
      <c r="Q285" s="128"/>
      <c r="R285" s="128"/>
      <c r="S285" s="128"/>
      <c r="T285" s="128"/>
    </row>
    <row r="286" spans="2:20">
      <c r="D286" s="123" t="s">
        <v>173</v>
      </c>
      <c r="E286" s="153"/>
      <c r="F286" s="153"/>
      <c r="G286" s="128"/>
      <c r="H286" s="128"/>
      <c r="I286" s="128"/>
      <c r="J286" s="128"/>
      <c r="K286" s="128"/>
      <c r="L286" s="128"/>
      <c r="M286" s="128"/>
      <c r="N286" s="128"/>
      <c r="O286" s="128"/>
      <c r="P286" s="128"/>
      <c r="Q286" s="128"/>
      <c r="R286" s="128"/>
      <c r="S286" s="128"/>
      <c r="T286" s="128"/>
    </row>
    <row r="287" spans="2:20">
      <c r="D287" s="128" t="s">
        <v>275</v>
      </c>
      <c r="E287" s="128"/>
      <c r="F287" s="128"/>
      <c r="G287" s="128"/>
      <c r="H287" s="128"/>
      <c r="I287" s="128"/>
      <c r="J287" s="128"/>
      <c r="K287" s="128"/>
      <c r="L287" s="128"/>
      <c r="M287" s="128"/>
      <c r="N287" s="128"/>
      <c r="O287" s="128"/>
      <c r="P287" s="128"/>
      <c r="Q287" s="128"/>
      <c r="R287" s="128"/>
      <c r="S287" s="128"/>
      <c r="T287" s="128"/>
    </row>
    <row r="288" spans="2:20">
      <c r="B288" s="132"/>
      <c r="C288" s="133"/>
      <c r="D288" s="128" t="s">
        <v>276</v>
      </c>
      <c r="E288" s="128"/>
      <c r="F288" s="128"/>
      <c r="G288" s="128"/>
      <c r="H288" s="128"/>
      <c r="I288" s="128"/>
      <c r="J288" s="128"/>
      <c r="K288" s="128"/>
      <c r="L288" s="128"/>
      <c r="M288" s="128"/>
      <c r="N288" s="128"/>
      <c r="O288" s="128"/>
      <c r="P288" s="128"/>
      <c r="Q288" s="128"/>
      <c r="R288" s="128"/>
      <c r="S288" s="128"/>
      <c r="T288" s="128"/>
    </row>
    <row r="289" spans="2:20">
      <c r="B289" s="132"/>
      <c r="C289" s="133"/>
      <c r="D289" s="128" t="s">
        <v>174</v>
      </c>
      <c r="E289" s="128"/>
      <c r="F289" s="128"/>
      <c r="G289" s="128"/>
      <c r="H289" s="128"/>
      <c r="I289" s="128"/>
      <c r="J289" s="128"/>
      <c r="K289" s="128"/>
      <c r="L289" s="128"/>
      <c r="M289" s="128"/>
      <c r="N289" s="128"/>
      <c r="O289" s="128"/>
      <c r="P289" s="128"/>
      <c r="Q289" s="128"/>
      <c r="R289" s="128"/>
      <c r="S289" s="128"/>
      <c r="T289" s="128"/>
    </row>
    <row r="290" spans="2:20">
      <c r="B290" s="132"/>
      <c r="C290" s="133"/>
      <c r="D290" s="128" t="s">
        <v>175</v>
      </c>
      <c r="E290" s="128"/>
      <c r="F290" s="128"/>
      <c r="G290" s="128"/>
      <c r="H290" s="128"/>
      <c r="I290" s="128"/>
      <c r="J290" s="128"/>
      <c r="K290" s="128"/>
      <c r="L290" s="128"/>
      <c r="M290" s="128"/>
      <c r="N290" s="128"/>
      <c r="O290" s="128"/>
      <c r="P290" s="128"/>
      <c r="Q290" s="128"/>
      <c r="R290" s="128"/>
      <c r="S290" s="128"/>
      <c r="T290" s="128"/>
    </row>
    <row r="291" spans="2:20">
      <c r="B291" s="132"/>
      <c r="C291" s="133"/>
      <c r="D291" s="128" t="s">
        <v>611</v>
      </c>
      <c r="E291" s="128"/>
      <c r="F291" s="128"/>
      <c r="G291" s="128"/>
      <c r="H291" s="128"/>
      <c r="I291" s="128"/>
      <c r="J291" s="128"/>
      <c r="K291" s="128"/>
      <c r="L291" s="128"/>
      <c r="M291" s="128"/>
      <c r="N291" s="128"/>
      <c r="O291" s="128"/>
      <c r="P291" s="128"/>
      <c r="Q291" s="128"/>
      <c r="R291" s="128"/>
      <c r="S291" s="128"/>
      <c r="T291" s="128"/>
    </row>
    <row r="292" spans="2:20">
      <c r="B292" s="132"/>
      <c r="C292" s="133"/>
      <c r="D292" s="128" t="s">
        <v>598</v>
      </c>
      <c r="E292" s="128"/>
      <c r="F292" s="128"/>
      <c r="G292" s="128"/>
      <c r="H292" s="128"/>
      <c r="I292" s="128"/>
      <c r="J292" s="128"/>
      <c r="K292" s="128"/>
      <c r="L292" s="128"/>
      <c r="M292" s="128"/>
      <c r="N292" s="128"/>
      <c r="O292" s="128"/>
      <c r="P292" s="128"/>
      <c r="Q292" s="128"/>
      <c r="R292" s="128"/>
      <c r="S292" s="128"/>
      <c r="T292" s="128"/>
    </row>
    <row r="293" spans="2:20">
      <c r="B293" s="132"/>
      <c r="C293" s="133"/>
      <c r="D293" s="128" t="s">
        <v>612</v>
      </c>
      <c r="E293" s="128"/>
      <c r="F293" s="128"/>
      <c r="G293" s="128"/>
      <c r="H293" s="128"/>
      <c r="I293" s="128"/>
      <c r="J293" s="128"/>
      <c r="K293" s="128"/>
      <c r="L293" s="128"/>
      <c r="M293" s="128"/>
      <c r="N293" s="128"/>
      <c r="O293" s="128"/>
      <c r="P293" s="128"/>
      <c r="Q293" s="128"/>
      <c r="R293" s="128"/>
      <c r="S293" s="128"/>
      <c r="T293" s="128"/>
    </row>
    <row r="294" spans="2:20">
      <c r="B294" s="132"/>
      <c r="C294" s="133"/>
      <c r="D294" s="128" t="s">
        <v>599</v>
      </c>
      <c r="E294" s="128"/>
      <c r="F294" s="128"/>
      <c r="G294" s="128"/>
      <c r="H294" s="128"/>
      <c r="I294" s="128"/>
      <c r="J294" s="128"/>
      <c r="K294" s="128"/>
      <c r="L294" s="128"/>
      <c r="M294" s="128"/>
      <c r="N294" s="128"/>
      <c r="O294" s="128"/>
      <c r="P294" s="128"/>
      <c r="Q294" s="128"/>
      <c r="R294" s="128"/>
      <c r="S294" s="128"/>
      <c r="T294" s="128"/>
    </row>
    <row r="295" spans="2:20">
      <c r="B295" s="132"/>
      <c r="C295" s="133"/>
      <c r="D295" s="128" t="s">
        <v>281</v>
      </c>
      <c r="E295" s="128"/>
      <c r="F295" s="128"/>
      <c r="G295" s="128"/>
      <c r="H295" s="128"/>
      <c r="I295" s="128"/>
      <c r="J295" s="128"/>
      <c r="K295" s="128"/>
      <c r="L295" s="128"/>
      <c r="M295" s="128"/>
      <c r="N295" s="128"/>
      <c r="O295" s="128"/>
      <c r="P295" s="128"/>
      <c r="Q295" s="128"/>
      <c r="R295" s="128"/>
      <c r="S295" s="128"/>
      <c r="T295" s="128"/>
    </row>
    <row r="296" spans="2:20">
      <c r="B296" s="132"/>
      <c r="C296" s="133"/>
      <c r="D296" s="129"/>
      <c r="E296" s="128"/>
      <c r="F296" s="128"/>
      <c r="G296" s="128"/>
      <c r="H296" s="128"/>
      <c r="I296" s="128"/>
      <c r="J296" s="128"/>
      <c r="K296" s="128"/>
      <c r="L296" s="128"/>
      <c r="M296" s="128"/>
      <c r="N296" s="128"/>
      <c r="O296" s="128"/>
      <c r="P296" s="128"/>
      <c r="Q296" s="128"/>
      <c r="R296" s="128"/>
      <c r="S296" s="128"/>
      <c r="T296" s="128"/>
    </row>
    <row r="297" spans="2:20" ht="15" customHeight="1">
      <c r="B297" s="132" t="s">
        <v>447</v>
      </c>
      <c r="C297" s="133"/>
      <c r="D297" s="1114" t="s">
        <v>613</v>
      </c>
      <c r="E297" s="1115"/>
      <c r="F297" s="1115"/>
      <c r="G297" s="1115"/>
      <c r="H297" s="1115"/>
      <c r="I297" s="1115"/>
      <c r="J297" s="1115"/>
      <c r="K297" s="1115"/>
      <c r="L297" s="128"/>
      <c r="M297" s="128"/>
      <c r="N297" s="128"/>
      <c r="O297" s="128"/>
      <c r="P297" s="128"/>
      <c r="Q297" s="128"/>
      <c r="R297" s="128"/>
      <c r="S297" s="128"/>
      <c r="T297" s="128"/>
    </row>
    <row r="298" spans="2:20">
      <c r="B298" s="132"/>
      <c r="C298" s="133"/>
      <c r="D298" s="1115"/>
      <c r="E298" s="1115"/>
      <c r="F298" s="1115"/>
      <c r="G298" s="1115"/>
      <c r="H298" s="1115"/>
      <c r="I298" s="1115"/>
      <c r="J298" s="1115"/>
      <c r="K298" s="1115"/>
      <c r="L298" s="128"/>
      <c r="M298" s="128"/>
      <c r="N298" s="128"/>
      <c r="O298" s="128"/>
      <c r="P298" s="128"/>
      <c r="Q298" s="128"/>
      <c r="R298" s="128"/>
      <c r="S298" s="128"/>
      <c r="T298" s="128"/>
    </row>
    <row r="299" spans="2:20">
      <c r="E299" s="128"/>
      <c r="F299" s="128"/>
      <c r="G299" s="128"/>
      <c r="H299" s="128"/>
      <c r="I299" s="128"/>
      <c r="J299" s="128"/>
      <c r="K299" s="128"/>
      <c r="L299" s="128"/>
      <c r="M299" s="128"/>
      <c r="N299" s="128"/>
      <c r="O299" s="128"/>
      <c r="P299" s="128"/>
      <c r="Q299" s="128"/>
      <c r="R299" s="128"/>
      <c r="S299" s="128"/>
      <c r="T299" s="128"/>
    </row>
    <row r="300" spans="2:20">
      <c r="B300" s="132" t="s">
        <v>448</v>
      </c>
      <c r="C300" s="133"/>
      <c r="D300" s="129" t="s">
        <v>797</v>
      </c>
      <c r="E300" s="128"/>
      <c r="F300" s="128"/>
      <c r="G300" s="128"/>
      <c r="H300" s="128"/>
      <c r="I300" s="128"/>
      <c r="J300" s="128"/>
      <c r="K300" s="128"/>
      <c r="L300" s="128"/>
      <c r="M300" s="128"/>
      <c r="N300" s="128"/>
      <c r="O300" s="128"/>
      <c r="P300" s="128"/>
      <c r="Q300" s="128"/>
      <c r="R300" s="128"/>
      <c r="S300" s="128"/>
      <c r="T300" s="128"/>
    </row>
    <row r="301" spans="2:20">
      <c r="B301" s="132"/>
      <c r="C301" s="133"/>
      <c r="D301" s="129"/>
      <c r="E301" s="128"/>
      <c r="F301" s="128"/>
      <c r="G301" s="128"/>
      <c r="H301" s="128"/>
      <c r="I301" s="128"/>
      <c r="J301" s="128"/>
      <c r="K301" s="128"/>
      <c r="L301" s="128"/>
      <c r="M301" s="128"/>
      <c r="N301" s="128"/>
      <c r="O301" s="128"/>
      <c r="P301" s="128"/>
      <c r="Q301" s="128"/>
      <c r="R301" s="128"/>
      <c r="S301" s="128"/>
      <c r="T301" s="128"/>
    </row>
    <row r="302" spans="2:20">
      <c r="B302" s="132" t="s">
        <v>449</v>
      </c>
      <c r="C302" s="133"/>
      <c r="D302" s="128" t="s">
        <v>30</v>
      </c>
      <c r="E302" s="128"/>
      <c r="F302" s="128"/>
      <c r="G302" s="128"/>
      <c r="H302" s="128"/>
      <c r="I302" s="128"/>
      <c r="J302" s="128"/>
      <c r="K302" s="128"/>
      <c r="L302" s="128"/>
      <c r="M302" s="128"/>
      <c r="N302" s="128"/>
      <c r="O302" s="128"/>
      <c r="P302" s="128"/>
      <c r="Q302" s="128"/>
      <c r="R302" s="128"/>
      <c r="S302" s="128"/>
      <c r="T302" s="128"/>
    </row>
    <row r="303" spans="2:20">
      <c r="B303" s="132"/>
      <c r="C303" s="133"/>
      <c r="D303" s="128" t="s">
        <v>287</v>
      </c>
      <c r="E303" s="128"/>
      <c r="F303" s="128"/>
      <c r="G303" s="128"/>
      <c r="H303" s="128"/>
      <c r="I303" s="128"/>
      <c r="J303" s="128"/>
      <c r="K303" s="128"/>
      <c r="L303" s="128"/>
      <c r="M303" s="128"/>
      <c r="N303" s="128"/>
      <c r="O303" s="128"/>
      <c r="P303" s="128"/>
      <c r="Q303" s="128"/>
      <c r="R303" s="128"/>
      <c r="S303" s="128"/>
      <c r="T303" s="128"/>
    </row>
    <row r="304" spans="2:20">
      <c r="B304" s="132"/>
      <c r="C304" s="133"/>
      <c r="D304" s="128" t="s">
        <v>293</v>
      </c>
      <c r="E304" s="128"/>
      <c r="F304" s="128"/>
      <c r="G304" s="128"/>
      <c r="H304" s="128"/>
      <c r="I304" s="128"/>
      <c r="J304" s="128"/>
      <c r="K304" s="128"/>
      <c r="L304" s="128"/>
      <c r="M304" s="128"/>
      <c r="N304" s="128"/>
      <c r="O304" s="128"/>
      <c r="P304" s="128"/>
      <c r="Q304" s="128"/>
      <c r="R304" s="128"/>
      <c r="S304" s="128"/>
      <c r="T304" s="128"/>
    </row>
    <row r="305" spans="2:20">
      <c r="B305" s="132"/>
      <c r="C305" s="133"/>
      <c r="D305" s="128" t="s">
        <v>162</v>
      </c>
      <c r="E305" s="128"/>
      <c r="F305" s="128"/>
      <c r="G305" s="128"/>
      <c r="H305" s="128"/>
      <c r="I305" s="128"/>
      <c r="J305" s="128"/>
      <c r="K305" s="128"/>
      <c r="L305" s="128"/>
      <c r="M305" s="128"/>
      <c r="N305" s="128"/>
      <c r="O305" s="128"/>
      <c r="P305" s="128"/>
      <c r="Q305" s="128"/>
      <c r="R305" s="128"/>
      <c r="S305" s="128"/>
      <c r="T305" s="128"/>
    </row>
    <row r="306" spans="2:20">
      <c r="B306" s="132"/>
      <c r="C306" s="133"/>
      <c r="D306" s="128" t="s">
        <v>600</v>
      </c>
      <c r="E306" s="128"/>
      <c r="F306" s="128"/>
      <c r="G306" s="128"/>
      <c r="H306" s="128"/>
      <c r="I306" s="128"/>
      <c r="J306" s="128"/>
      <c r="K306" s="128"/>
      <c r="L306" s="128"/>
      <c r="M306" s="128"/>
      <c r="N306" s="128"/>
      <c r="O306" s="128"/>
      <c r="P306" s="128"/>
      <c r="Q306" s="128"/>
      <c r="R306" s="128"/>
      <c r="S306" s="128"/>
      <c r="T306" s="128"/>
    </row>
    <row r="307" spans="2:20">
      <c r="B307" s="132"/>
      <c r="C307" s="133"/>
      <c r="D307" s="128" t="s">
        <v>601</v>
      </c>
      <c r="E307" s="128"/>
      <c r="F307" s="128"/>
      <c r="G307" s="128"/>
      <c r="H307" s="128"/>
      <c r="I307" s="128"/>
      <c r="J307" s="128"/>
      <c r="K307" s="128"/>
      <c r="L307" s="128"/>
      <c r="M307" s="128"/>
      <c r="N307" s="128"/>
      <c r="O307" s="128"/>
      <c r="P307" s="128"/>
      <c r="Q307" s="128"/>
      <c r="R307" s="128"/>
      <c r="S307" s="128"/>
      <c r="T307" s="128"/>
    </row>
    <row r="308" spans="2:20">
      <c r="B308" s="132"/>
      <c r="C308" s="133"/>
      <c r="D308" s="128" t="s">
        <v>602</v>
      </c>
      <c r="E308" s="128"/>
      <c r="F308" s="128"/>
      <c r="G308" s="128"/>
      <c r="H308" s="128"/>
      <c r="I308" s="128"/>
      <c r="J308" s="128"/>
      <c r="K308" s="128"/>
      <c r="L308" s="128"/>
      <c r="M308" s="128"/>
      <c r="N308" s="128"/>
      <c r="O308" s="128"/>
      <c r="P308" s="128"/>
      <c r="Q308" s="128"/>
      <c r="R308" s="128"/>
      <c r="S308" s="128"/>
      <c r="T308" s="128"/>
    </row>
    <row r="309" spans="2:20">
      <c r="B309" s="132"/>
      <c r="C309" s="133"/>
      <c r="D309" s="128" t="s">
        <v>108</v>
      </c>
      <c r="E309" s="128"/>
      <c r="F309" s="128"/>
      <c r="G309" s="128"/>
      <c r="H309" s="128"/>
      <c r="I309" s="128"/>
      <c r="J309" s="128"/>
      <c r="K309" s="128"/>
      <c r="L309" s="128"/>
      <c r="M309" s="128"/>
      <c r="N309" s="128"/>
      <c r="O309" s="128"/>
      <c r="P309" s="128"/>
      <c r="Q309" s="128"/>
      <c r="R309" s="128"/>
      <c r="S309" s="128"/>
      <c r="T309" s="128"/>
    </row>
    <row r="310" spans="2:20">
      <c r="B310" s="132"/>
      <c r="C310" s="133"/>
      <c r="D310" s="128"/>
      <c r="E310" s="128"/>
      <c r="F310" s="128"/>
      <c r="G310" s="128"/>
      <c r="H310" s="128"/>
      <c r="I310" s="128"/>
      <c r="J310" s="128"/>
      <c r="K310" s="128"/>
      <c r="L310" s="128"/>
      <c r="M310" s="128"/>
      <c r="N310" s="128"/>
      <c r="O310" s="128"/>
      <c r="P310" s="128"/>
      <c r="Q310" s="128"/>
      <c r="R310" s="128"/>
      <c r="S310" s="128"/>
      <c r="T310" s="128"/>
    </row>
    <row r="311" spans="2:20">
      <c r="B311" s="132" t="s">
        <v>450</v>
      </c>
      <c r="C311" s="128"/>
      <c r="D311" s="128"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69"/>
      <c r="M311" s="128"/>
      <c r="N311" s="128"/>
      <c r="O311" s="128"/>
      <c r="P311" s="128"/>
      <c r="Q311" s="128"/>
      <c r="R311" s="128"/>
      <c r="S311" s="128"/>
      <c r="T311" s="128"/>
    </row>
    <row r="312" spans="2:20">
      <c r="B312" s="132"/>
      <c r="C312" s="128"/>
      <c r="D312" s="270"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69"/>
      <c r="M312" s="128"/>
      <c r="N312" s="128"/>
      <c r="O312" s="128"/>
      <c r="P312" s="128"/>
      <c r="Q312" s="128"/>
      <c r="R312" s="128"/>
      <c r="S312" s="128"/>
      <c r="T312" s="128"/>
    </row>
    <row r="313" spans="2:20">
      <c r="B313" s="132"/>
      <c r="C313" s="128"/>
      <c r="D313" s="271" t="str">
        <f>+"2)  Costs of Transmission of Electricity by Others, as described in Note H."</f>
        <v>2)  Costs of Transmission of Electricity by Others, as described in Note H.</v>
      </c>
      <c r="E313" s="3"/>
      <c r="F313" s="3"/>
      <c r="G313" s="3"/>
      <c r="H313" s="3"/>
      <c r="I313" s="3"/>
      <c r="J313" s="3"/>
      <c r="K313" s="3"/>
      <c r="L313" s="269"/>
      <c r="M313" s="128"/>
      <c r="N313" s="128"/>
      <c r="O313" s="128"/>
      <c r="P313" s="128"/>
      <c r="Q313" s="128"/>
      <c r="R313" s="128"/>
      <c r="S313" s="128"/>
      <c r="T313" s="128"/>
    </row>
    <row r="314" spans="2:20">
      <c r="B314" s="132"/>
      <c r="C314" s="128"/>
      <c r="D314" s="270" t="str">
        <f>+"3)  The impact of state regulatory deferrals and amortizations, as shown on line  "&amp;B139&amp;""</f>
        <v>3)  The impact of state regulatory deferrals and amortizations, as shown on line  65</v>
      </c>
      <c r="E314" s="41"/>
      <c r="F314" s="41"/>
      <c r="G314" s="41"/>
      <c r="H314" s="41"/>
      <c r="I314" s="41"/>
      <c r="J314" s="41"/>
      <c r="K314" s="41"/>
      <c r="L314" s="269"/>
      <c r="M314" s="128"/>
      <c r="N314" s="128"/>
      <c r="O314" s="128"/>
      <c r="P314" s="128"/>
      <c r="Q314" s="128"/>
      <c r="R314" s="128"/>
      <c r="S314" s="128"/>
      <c r="T314" s="128"/>
    </row>
    <row r="315" spans="2:20">
      <c r="B315" s="132"/>
      <c r="C315" s="41"/>
      <c r="D315" s="271" t="str">
        <f>"4) All A&amp;G Expenses, as shown on line "&amp;B154&amp;"."</f>
        <v>4) All A&amp;G Expenses, as shown on line 78.</v>
      </c>
      <c r="E315" s="3"/>
      <c r="F315" s="3"/>
      <c r="G315" s="3"/>
      <c r="H315" s="3"/>
      <c r="I315" s="3"/>
      <c r="J315" s="3"/>
      <c r="K315" s="3"/>
      <c r="L315" s="269"/>
      <c r="M315" s="128"/>
      <c r="N315" s="128"/>
      <c r="O315" s="128"/>
      <c r="P315" s="128"/>
      <c r="Q315" s="128"/>
      <c r="R315" s="128"/>
      <c r="S315" s="128"/>
      <c r="T315" s="128"/>
    </row>
    <row r="316" spans="2:20">
      <c r="B316" s="132"/>
      <c r="C316" s="133"/>
      <c r="D316" s="270"/>
      <c r="E316" s="270"/>
      <c r="F316" s="270"/>
      <c r="G316" s="270"/>
      <c r="H316" s="270"/>
      <c r="I316" s="270"/>
      <c r="J316" s="270"/>
      <c r="K316" s="270"/>
      <c r="L316" s="128"/>
      <c r="M316" s="128"/>
      <c r="N316" s="128"/>
      <c r="O316" s="128"/>
      <c r="P316" s="128"/>
      <c r="Q316" s="128"/>
      <c r="R316" s="128"/>
      <c r="S316" s="128"/>
      <c r="T316" s="128"/>
    </row>
    <row r="317" spans="2:20">
      <c r="B317" s="268" t="s">
        <v>451</v>
      </c>
      <c r="C317" s="187"/>
      <c r="D317" s="272"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72"/>
      <c r="F317" s="272"/>
      <c r="G317" s="272"/>
      <c r="H317" s="272"/>
      <c r="I317" s="272"/>
      <c r="J317" s="272"/>
      <c r="K317" s="272"/>
      <c r="M317" s="128"/>
      <c r="N317" s="128"/>
      <c r="O317" s="128"/>
      <c r="P317" s="128"/>
      <c r="Q317" s="128"/>
      <c r="R317" s="128"/>
      <c r="S317" s="128"/>
      <c r="T317" s="128"/>
    </row>
    <row r="318" spans="2:20">
      <c r="D318" s="272" t="s">
        <v>507</v>
      </c>
      <c r="E318" s="272"/>
      <c r="F318" s="272"/>
      <c r="G318" s="272"/>
      <c r="H318" s="272"/>
      <c r="I318" s="272"/>
      <c r="J318" s="272"/>
      <c r="K318" s="272"/>
      <c r="M318" s="128"/>
      <c r="N318" s="128"/>
      <c r="O318" s="128"/>
      <c r="P318" s="128"/>
      <c r="Q318" s="128"/>
      <c r="R318" s="128"/>
      <c r="S318" s="128"/>
      <c r="T318" s="128"/>
    </row>
    <row r="319" spans="2:20">
      <c r="D319" s="272" t="str">
        <f>"expense is included on line "&amp;B193&amp;"."</f>
        <v>expense is included on line 110.</v>
      </c>
      <c r="E319" s="272"/>
      <c r="F319" s="272"/>
      <c r="G319" s="272"/>
      <c r="H319" s="272"/>
      <c r="I319" s="272"/>
      <c r="J319" s="272"/>
      <c r="K319" s="272"/>
      <c r="M319" s="128"/>
      <c r="N319" s="128"/>
      <c r="O319" s="128"/>
      <c r="P319" s="128"/>
      <c r="Q319" s="128"/>
      <c r="R319" s="128"/>
      <c r="S319" s="128"/>
      <c r="T319" s="128"/>
    </row>
    <row r="320" spans="2:20" ht="21" customHeight="1">
      <c r="D320" s="272"/>
      <c r="E320" s="272"/>
      <c r="F320" s="272"/>
      <c r="G320" s="272"/>
      <c r="H320" s="272"/>
      <c r="I320" s="272"/>
      <c r="J320" s="272"/>
      <c r="K320" s="272"/>
      <c r="M320" s="128"/>
      <c r="N320" s="128"/>
      <c r="O320" s="128"/>
      <c r="P320" s="128"/>
      <c r="Q320" s="128"/>
      <c r="R320" s="128"/>
      <c r="S320" s="128"/>
      <c r="T320" s="128"/>
    </row>
    <row r="321" spans="2:20" ht="14.25" customHeight="1">
      <c r="B321" s="268" t="s">
        <v>452</v>
      </c>
      <c r="D321" s="1128"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28"/>
      <c r="F321" s="1128"/>
      <c r="G321" s="1128"/>
      <c r="H321" s="1128"/>
      <c r="I321" s="1128"/>
      <c r="J321" s="1128"/>
      <c r="K321" s="1128"/>
      <c r="M321" s="128"/>
      <c r="N321" s="128"/>
      <c r="O321" s="128"/>
      <c r="P321" s="128"/>
      <c r="Q321" s="128"/>
      <c r="R321" s="128"/>
      <c r="S321" s="128"/>
      <c r="T321" s="128"/>
    </row>
    <row r="322" spans="2:20" ht="45" customHeight="1">
      <c r="B322" s="268"/>
      <c r="D322" s="1128"/>
      <c r="E322" s="1128"/>
      <c r="F322" s="1128"/>
      <c r="G322" s="1128"/>
      <c r="H322" s="1128"/>
      <c r="I322" s="1128"/>
      <c r="J322" s="1128"/>
      <c r="K322" s="1128"/>
      <c r="M322" s="128"/>
      <c r="N322" s="128"/>
      <c r="O322" s="128"/>
      <c r="P322" s="128"/>
      <c r="Q322" s="128"/>
      <c r="R322" s="128"/>
      <c r="S322" s="128"/>
      <c r="T322" s="128"/>
    </row>
    <row r="323" spans="2:20" ht="5.25" hidden="1" customHeight="1">
      <c r="B323" s="268"/>
      <c r="D323" s="1128"/>
      <c r="E323" s="1128"/>
      <c r="F323" s="1128"/>
      <c r="G323" s="1128"/>
      <c r="H323" s="1128"/>
      <c r="I323" s="1128"/>
      <c r="J323" s="1128"/>
      <c r="K323" s="1128"/>
      <c r="M323" s="128"/>
      <c r="N323" s="128"/>
      <c r="O323" s="128"/>
      <c r="P323" s="128"/>
      <c r="Q323" s="128"/>
      <c r="R323" s="128"/>
      <c r="S323" s="128"/>
      <c r="T323" s="128"/>
    </row>
    <row r="324" spans="2:20">
      <c r="B324" s="268"/>
      <c r="D324" s="270"/>
      <c r="E324" s="272"/>
      <c r="F324" s="272"/>
      <c r="G324" s="272"/>
      <c r="H324" s="272"/>
      <c r="I324" s="272"/>
      <c r="J324" s="272"/>
      <c r="K324" s="272"/>
      <c r="M324" s="128"/>
      <c r="N324" s="128"/>
      <c r="O324" s="128"/>
      <c r="P324" s="128"/>
      <c r="Q324" s="128"/>
      <c r="R324" s="128"/>
      <c r="S324" s="128"/>
      <c r="T324" s="128"/>
    </row>
    <row r="325" spans="2:20">
      <c r="B325" s="268" t="s">
        <v>453</v>
      </c>
      <c r="D325" s="1131"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31"/>
      <c r="F325" s="1131"/>
      <c r="G325" s="1131"/>
      <c r="H325" s="1131"/>
      <c r="I325" s="1131"/>
      <c r="J325" s="1131"/>
      <c r="K325" s="1131"/>
      <c r="M325" s="128"/>
      <c r="N325" s="128"/>
      <c r="O325" s="128"/>
      <c r="P325" s="128"/>
      <c r="Q325" s="128"/>
      <c r="R325" s="128"/>
      <c r="S325" s="128"/>
      <c r="T325" s="128"/>
    </row>
    <row r="326" spans="2:20">
      <c r="B326" s="268"/>
      <c r="D326" s="1131"/>
      <c r="E326" s="1131"/>
      <c r="F326" s="1131"/>
      <c r="G326" s="1131"/>
      <c r="H326" s="1131"/>
      <c r="I326" s="1131"/>
      <c r="J326" s="1131"/>
      <c r="K326" s="1131"/>
      <c r="M326" s="128"/>
      <c r="N326" s="128"/>
      <c r="O326" s="128"/>
      <c r="P326" s="128"/>
      <c r="Q326" s="128"/>
      <c r="R326" s="128"/>
      <c r="S326" s="128"/>
      <c r="T326" s="128"/>
    </row>
    <row r="327" spans="2:20">
      <c r="B327" s="268"/>
      <c r="D327" s="1132"/>
      <c r="E327" s="1132"/>
      <c r="F327" s="1132"/>
      <c r="G327" s="1132"/>
      <c r="H327" s="1132"/>
      <c r="I327" s="1132"/>
      <c r="J327" s="1132"/>
      <c r="K327" s="1132"/>
      <c r="M327" s="128"/>
      <c r="N327" s="128"/>
      <c r="O327" s="128"/>
      <c r="P327" s="128"/>
      <c r="Q327" s="128"/>
      <c r="R327" s="128"/>
      <c r="S327" s="128"/>
      <c r="T327" s="128"/>
    </row>
    <row r="328" spans="2:20">
      <c r="B328" s="268"/>
      <c r="D328" s="1133"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33"/>
      <c r="F328" s="1133"/>
      <c r="G328" s="1133"/>
      <c r="H328" s="1133"/>
      <c r="I328" s="1133"/>
      <c r="J328" s="1133"/>
      <c r="K328" s="273"/>
      <c r="M328" s="128"/>
      <c r="N328" s="128"/>
      <c r="O328" s="128"/>
      <c r="P328" s="128"/>
      <c r="Q328" s="128"/>
      <c r="R328" s="128"/>
      <c r="S328" s="128"/>
      <c r="T328" s="128"/>
    </row>
    <row r="329" spans="2:20">
      <c r="B329" s="268"/>
      <c r="D329" s="1133"/>
      <c r="E329" s="1133"/>
      <c r="F329" s="1133"/>
      <c r="G329" s="1133"/>
      <c r="H329" s="1133"/>
      <c r="I329" s="1133"/>
      <c r="J329" s="1133"/>
      <c r="K329" s="273"/>
      <c r="M329" s="128"/>
      <c r="N329" s="128"/>
      <c r="O329" s="128"/>
      <c r="P329" s="128"/>
      <c r="Q329" s="128"/>
      <c r="R329" s="128"/>
      <c r="S329" s="128"/>
      <c r="T329" s="128"/>
    </row>
    <row r="330" spans="2:20" ht="22.5" customHeight="1">
      <c r="B330" s="268"/>
      <c r="D330" s="272" t="str">
        <f>"The company records referenced on line"&amp;B157&amp;" is the "&amp;F9&amp;" general ledger."</f>
        <v>The company records referenced on line80 is the AEP Indiana Michigan Transmission Company general ledger.</v>
      </c>
      <c r="E330" s="274"/>
      <c r="F330" s="274"/>
      <c r="G330" s="274"/>
      <c r="H330" s="274"/>
      <c r="I330" s="274"/>
      <c r="J330" s="274"/>
      <c r="K330" s="273"/>
      <c r="M330" s="128"/>
      <c r="N330" s="128"/>
      <c r="O330" s="128"/>
      <c r="P330" s="128"/>
      <c r="Q330" s="128"/>
      <c r="R330" s="128"/>
      <c r="S330" s="128"/>
      <c r="T330" s="128"/>
    </row>
    <row r="331" spans="2:20">
      <c r="B331" s="268"/>
      <c r="D331" s="274"/>
      <c r="E331" s="274"/>
      <c r="F331" s="274"/>
      <c r="G331" s="274"/>
      <c r="H331" s="274"/>
      <c r="I331" s="274"/>
      <c r="J331" s="274"/>
      <c r="K331" s="274"/>
      <c r="M331" s="128"/>
      <c r="N331" s="128"/>
      <c r="O331" s="128"/>
      <c r="P331" s="128"/>
      <c r="Q331" s="128"/>
      <c r="R331" s="128"/>
      <c r="S331" s="128"/>
      <c r="T331" s="128"/>
    </row>
    <row r="332" spans="2:20">
      <c r="B332" s="268" t="s">
        <v>454</v>
      </c>
      <c r="D332" s="272" t="s">
        <v>603</v>
      </c>
      <c r="E332" s="41"/>
      <c r="F332" s="41"/>
      <c r="G332" s="41"/>
      <c r="H332" s="41"/>
      <c r="I332" s="41"/>
      <c r="J332" s="41"/>
      <c r="K332" s="41"/>
      <c r="M332" s="128"/>
      <c r="N332" s="128"/>
      <c r="O332" s="128"/>
      <c r="P332" s="128"/>
      <c r="Q332" s="128"/>
      <c r="R332" s="128"/>
      <c r="S332" s="128"/>
      <c r="T332" s="128"/>
    </row>
    <row r="333" spans="2:20">
      <c r="B333" s="268"/>
      <c r="D333" s="275"/>
      <c r="E333" s="275"/>
      <c r="F333" s="275"/>
      <c r="G333" s="275"/>
      <c r="H333" s="275"/>
      <c r="I333" s="275"/>
      <c r="J333" s="275"/>
      <c r="K333" s="275"/>
      <c r="M333" s="128"/>
      <c r="N333" s="128"/>
      <c r="O333" s="128"/>
      <c r="P333" s="128"/>
      <c r="Q333" s="128"/>
      <c r="R333" s="128"/>
      <c r="S333" s="128"/>
      <c r="T333" s="128"/>
    </row>
    <row r="334" spans="2:20" ht="15" customHeight="1">
      <c r="B334" s="268" t="s">
        <v>455</v>
      </c>
      <c r="D334" s="1135" t="s">
        <v>7</v>
      </c>
      <c r="E334" s="1115"/>
      <c r="F334" s="1115"/>
      <c r="G334" s="1115"/>
      <c r="H334" s="1115"/>
      <c r="I334" s="1115"/>
      <c r="J334" s="1115"/>
      <c r="K334" s="272"/>
      <c r="M334" s="128"/>
      <c r="N334" s="128"/>
      <c r="O334" s="128"/>
      <c r="P334" s="128"/>
      <c r="Q334" s="128"/>
      <c r="R334" s="128"/>
      <c r="S334" s="128"/>
      <c r="T334" s="128"/>
    </row>
    <row r="335" spans="2:20">
      <c r="B335" s="268"/>
      <c r="D335" s="1136"/>
      <c r="E335" s="1136"/>
      <c r="F335" s="1136"/>
      <c r="G335" s="1136"/>
      <c r="H335" s="1136"/>
      <c r="I335" s="1136"/>
      <c r="J335" s="1136"/>
      <c r="K335" s="275"/>
      <c r="M335" s="128"/>
      <c r="N335" s="128"/>
      <c r="O335" s="128"/>
      <c r="P335" s="128"/>
      <c r="Q335" s="128"/>
      <c r="R335" s="128"/>
      <c r="S335" s="128"/>
      <c r="T335" s="128"/>
    </row>
    <row r="336" spans="2:20">
      <c r="B336" s="268"/>
      <c r="D336" s="1115"/>
      <c r="E336" s="1115"/>
      <c r="F336" s="1115"/>
      <c r="G336" s="1115"/>
      <c r="H336" s="1115"/>
      <c r="I336" s="1115"/>
      <c r="J336" s="1115"/>
      <c r="K336" s="272"/>
      <c r="M336" s="128"/>
      <c r="N336" s="128"/>
      <c r="O336" s="128"/>
      <c r="P336" s="128"/>
      <c r="Q336" s="128"/>
      <c r="R336" s="128"/>
      <c r="S336" s="128"/>
      <c r="T336" s="128"/>
    </row>
    <row r="337" spans="2:20">
      <c r="B337" s="268"/>
      <c r="M337" s="128"/>
      <c r="N337" s="128"/>
      <c r="O337" s="128"/>
      <c r="P337" s="128"/>
      <c r="Q337" s="128"/>
      <c r="R337" s="128"/>
      <c r="S337" s="128"/>
      <c r="T337" s="128"/>
    </row>
    <row r="338" spans="2:20" ht="15" customHeight="1">
      <c r="B338" s="132" t="s">
        <v>456</v>
      </c>
      <c r="D338" s="1129" t="s">
        <v>794</v>
      </c>
      <c r="E338" s="1130"/>
      <c r="F338" s="1130"/>
      <c r="G338" s="1130"/>
      <c r="H338" s="1130"/>
      <c r="I338" s="1130"/>
      <c r="J338" s="1130"/>
      <c r="K338" s="1130"/>
      <c r="M338" s="128"/>
      <c r="N338" s="128"/>
      <c r="O338" s="128"/>
      <c r="P338" s="128"/>
      <c r="Q338" s="128"/>
      <c r="R338" s="128"/>
      <c r="S338" s="128"/>
      <c r="T338" s="128"/>
    </row>
    <row r="339" spans="2:20">
      <c r="B339" s="268"/>
      <c r="M339" s="128"/>
      <c r="N339" s="128"/>
      <c r="O339" s="128"/>
      <c r="P339" s="128"/>
      <c r="Q339" s="128"/>
      <c r="R339" s="128"/>
      <c r="S339" s="128"/>
      <c r="T339" s="128"/>
    </row>
    <row r="340" spans="2:20">
      <c r="B340" s="132" t="s">
        <v>457</v>
      </c>
      <c r="C340" s="133"/>
      <c r="D340" s="128" t="s">
        <v>158</v>
      </c>
      <c r="E340" s="128"/>
      <c r="F340" s="128"/>
      <c r="G340" s="128"/>
      <c r="H340" s="128"/>
      <c r="I340" s="128"/>
      <c r="J340" s="128"/>
      <c r="K340" s="128"/>
      <c r="L340" s="128"/>
      <c r="M340" s="128"/>
      <c r="N340" s="128"/>
      <c r="O340" s="128"/>
      <c r="P340" s="128"/>
      <c r="Q340" s="128"/>
      <c r="R340" s="128"/>
      <c r="S340" s="128"/>
      <c r="T340" s="128"/>
    </row>
    <row r="341" spans="2:20">
      <c r="B341" s="132"/>
      <c r="C341" s="133"/>
      <c r="D341" s="128" t="s">
        <v>277</v>
      </c>
      <c r="E341" s="128"/>
      <c r="F341" s="128"/>
      <c r="G341" s="128"/>
      <c r="H341" s="128"/>
      <c r="I341" s="128"/>
      <c r="J341" s="128"/>
      <c r="K341" s="128"/>
      <c r="L341" s="128"/>
      <c r="M341" s="128"/>
      <c r="N341" s="128"/>
      <c r="O341" s="128"/>
      <c r="P341" s="128"/>
      <c r="Q341" s="128"/>
      <c r="R341" s="128"/>
      <c r="S341" s="128"/>
      <c r="T341" s="128"/>
    </row>
    <row r="342" spans="2:20">
      <c r="B342" s="132"/>
      <c r="C342" s="133"/>
      <c r="D342" s="128" t="s">
        <v>278</v>
      </c>
      <c r="E342" s="128"/>
      <c r="F342" s="128"/>
      <c r="G342" s="128"/>
      <c r="H342" s="128"/>
      <c r="I342" s="128"/>
      <c r="J342" s="128"/>
      <c r="K342" s="128"/>
      <c r="L342" s="128"/>
      <c r="M342" s="128"/>
      <c r="N342" s="128"/>
      <c r="O342" s="128"/>
      <c r="P342" s="128"/>
      <c r="Q342" s="128"/>
      <c r="R342" s="128"/>
      <c r="S342" s="128"/>
      <c r="T342" s="128"/>
    </row>
    <row r="343" spans="2:20">
      <c r="B343" s="132"/>
      <c r="C343" s="133"/>
      <c r="D343" s="123" t="s">
        <v>279</v>
      </c>
      <c r="E343" s="128"/>
      <c r="F343" s="128"/>
      <c r="G343" s="128"/>
      <c r="H343" s="128"/>
      <c r="I343" s="128"/>
      <c r="J343" s="128"/>
      <c r="K343" s="128"/>
      <c r="L343" s="128"/>
      <c r="M343" s="128"/>
      <c r="N343" s="128"/>
      <c r="O343" s="128"/>
      <c r="P343" s="128"/>
      <c r="Q343" s="128"/>
      <c r="R343" s="128"/>
      <c r="S343" s="128"/>
      <c r="T343" s="128"/>
    </row>
    <row r="344" spans="2:20">
      <c r="B344" s="132"/>
      <c r="C344" s="133"/>
      <c r="E344" s="128"/>
      <c r="F344" s="128"/>
      <c r="G344" s="128"/>
      <c r="H344" s="128"/>
      <c r="I344" s="128"/>
      <c r="J344" s="128"/>
      <c r="K344" s="128"/>
      <c r="L344" s="128"/>
      <c r="M344" s="128"/>
      <c r="N344" s="128"/>
      <c r="O344" s="128"/>
      <c r="P344" s="128"/>
      <c r="Q344" s="128"/>
      <c r="R344" s="128"/>
      <c r="S344" s="128"/>
      <c r="T344" s="128"/>
    </row>
    <row r="345" spans="2:20" ht="25.5" customHeight="1">
      <c r="B345" s="132" t="s">
        <v>458</v>
      </c>
      <c r="C345" s="133"/>
      <c r="D345" s="1134" t="s">
        <v>795</v>
      </c>
      <c r="E345" s="1134"/>
      <c r="F345" s="1134"/>
      <c r="G345" s="1134"/>
      <c r="H345" s="1134"/>
      <c r="I345" s="1134"/>
      <c r="J345" s="1134"/>
      <c r="K345" s="1134"/>
      <c r="L345" s="1134"/>
      <c r="M345" s="128"/>
      <c r="N345" s="128"/>
      <c r="O345" s="128"/>
      <c r="P345" s="128"/>
      <c r="Q345" s="128"/>
      <c r="R345" s="128"/>
      <c r="S345" s="128"/>
      <c r="T345" s="128"/>
    </row>
    <row r="346" spans="2:20">
      <c r="B346" s="132"/>
      <c r="C346" s="133"/>
      <c r="D346" s="1134"/>
      <c r="E346" s="1134"/>
      <c r="F346" s="1134"/>
      <c r="G346" s="1134"/>
      <c r="H346" s="1134"/>
      <c r="I346" s="1134"/>
      <c r="J346" s="1134"/>
      <c r="K346" s="1134"/>
      <c r="L346" s="1134"/>
      <c r="M346" s="128"/>
      <c r="N346" s="128"/>
      <c r="O346" s="128"/>
      <c r="P346" s="128"/>
      <c r="Q346" s="128"/>
      <c r="R346" s="128"/>
      <c r="S346" s="128"/>
      <c r="T346" s="128"/>
    </row>
    <row r="347" spans="2:20">
      <c r="B347" s="132"/>
      <c r="C347" s="133"/>
      <c r="D347" s="1134"/>
      <c r="E347" s="1134"/>
      <c r="F347" s="1134"/>
      <c r="G347" s="1134"/>
      <c r="H347" s="1134"/>
      <c r="I347" s="1134"/>
      <c r="J347" s="1134"/>
      <c r="K347" s="1134"/>
      <c r="L347" s="1134"/>
      <c r="M347" s="128"/>
      <c r="N347" s="128"/>
      <c r="O347" s="128"/>
      <c r="P347" s="128"/>
      <c r="Q347" s="128"/>
      <c r="R347" s="128"/>
      <c r="S347" s="128"/>
      <c r="T347" s="128"/>
    </row>
    <row r="348" spans="2:20">
      <c r="B348" s="132"/>
      <c r="C348" s="133"/>
      <c r="D348" s="200"/>
      <c r="E348" s="128"/>
      <c r="F348" s="128"/>
      <c r="G348" s="128"/>
      <c r="H348" s="128"/>
      <c r="I348" s="128"/>
      <c r="J348" s="128"/>
      <c r="K348" s="128"/>
      <c r="L348" s="128"/>
      <c r="M348" s="128"/>
      <c r="N348" s="128"/>
      <c r="O348" s="128"/>
      <c r="P348" s="128"/>
      <c r="Q348" s="128"/>
      <c r="R348" s="128"/>
      <c r="S348" s="128"/>
      <c r="T348" s="128"/>
    </row>
    <row r="349" spans="2:20">
      <c r="B349" s="187" t="s">
        <v>31</v>
      </c>
      <c r="C349" s="133"/>
      <c r="D349" s="128" t="s">
        <v>594</v>
      </c>
      <c r="E349" s="129"/>
      <c r="F349" s="129"/>
      <c r="G349" s="129"/>
      <c r="H349" s="129"/>
      <c r="I349" s="129"/>
      <c r="J349" s="129"/>
      <c r="M349" s="128"/>
      <c r="N349" s="128"/>
      <c r="O349" s="128"/>
      <c r="P349" s="128"/>
      <c r="Q349" s="128"/>
      <c r="R349" s="128"/>
      <c r="S349" s="128"/>
      <c r="T349" s="128"/>
    </row>
    <row r="350" spans="2:20">
      <c r="B350" s="187"/>
      <c r="C350" s="133"/>
      <c r="D350" s="129"/>
      <c r="E350" s="129"/>
      <c r="F350" s="129"/>
      <c r="G350" s="129"/>
      <c r="H350" s="129"/>
      <c r="I350" s="129"/>
      <c r="J350" s="129"/>
      <c r="M350" s="128"/>
      <c r="N350" s="128"/>
      <c r="O350" s="128"/>
      <c r="P350" s="128"/>
      <c r="Q350" s="128"/>
      <c r="R350" s="128"/>
      <c r="S350" s="128"/>
      <c r="T350" s="128"/>
    </row>
    <row r="351" spans="2:20">
      <c r="B351" s="132" t="s">
        <v>107</v>
      </c>
      <c r="C351" s="133"/>
      <c r="D351" s="128" t="s">
        <v>146</v>
      </c>
      <c r="M351" s="128"/>
      <c r="N351" s="128"/>
      <c r="O351" s="128"/>
      <c r="P351" s="128"/>
      <c r="Q351" s="128"/>
      <c r="R351" s="128"/>
      <c r="S351" s="128"/>
      <c r="T351" s="128"/>
    </row>
    <row r="352" spans="2:20">
      <c r="B352" s="187"/>
      <c r="C352" s="133"/>
      <c r="D352" s="128" t="s">
        <v>18</v>
      </c>
      <c r="M352" s="128"/>
      <c r="N352" s="128"/>
      <c r="O352" s="128"/>
      <c r="P352" s="128"/>
      <c r="Q352" s="128"/>
      <c r="R352" s="128"/>
      <c r="S352" s="128"/>
      <c r="T352" s="128"/>
    </row>
    <row r="353" spans="2:20">
      <c r="B353" s="187"/>
      <c r="C353" s="133"/>
      <c r="D353" s="128" t="s">
        <v>19</v>
      </c>
      <c r="M353" s="128"/>
      <c r="N353" s="128"/>
      <c r="O353" s="128"/>
      <c r="P353" s="128"/>
      <c r="Q353" s="128"/>
      <c r="R353" s="128"/>
      <c r="S353" s="128"/>
      <c r="T353" s="128"/>
    </row>
    <row r="354" spans="2:20">
      <c r="B354" s="187"/>
      <c r="C354" s="133"/>
      <c r="D354" s="128" t="s">
        <v>20</v>
      </c>
      <c r="M354" s="128"/>
      <c r="N354" s="128"/>
      <c r="O354" s="128"/>
      <c r="P354" s="128"/>
      <c r="Q354" s="128"/>
      <c r="R354" s="128"/>
      <c r="S354" s="128"/>
      <c r="T354" s="128"/>
    </row>
    <row r="355" spans="2:20">
      <c r="B355" s="132"/>
      <c r="C355" s="133"/>
      <c r="D355" s="128" t="str">
        <f>"(ln "&amp;B182&amp;") multiplied by (1/1-T) .  If the applicable tax rates are zero enter 0."</f>
        <v>(ln 101) multiplied by (1/1-T) .  If the applicable tax rates are zero enter 0.</v>
      </c>
      <c r="M355" s="128"/>
      <c r="N355" s="128"/>
      <c r="O355" s="128"/>
      <c r="P355" s="128"/>
      <c r="Q355" s="128"/>
      <c r="R355" s="128"/>
      <c r="S355" s="128"/>
      <c r="T355" s="128"/>
    </row>
    <row r="356" spans="2:20">
      <c r="B356" s="276"/>
      <c r="C356" s="128"/>
      <c r="D356" s="128" t="s">
        <v>147</v>
      </c>
      <c r="E356" s="128" t="s">
        <v>148</v>
      </c>
      <c r="F356" s="117">
        <v>0.21</v>
      </c>
      <c r="G356" s="128"/>
      <c r="M356" s="128"/>
      <c r="N356" s="128"/>
      <c r="O356" s="128"/>
      <c r="P356" s="128"/>
      <c r="Q356" s="128"/>
      <c r="R356" s="128"/>
      <c r="S356" s="128"/>
      <c r="T356" s="128"/>
    </row>
    <row r="357" spans="2:20">
      <c r="B357" s="276"/>
      <c r="C357" s="128"/>
      <c r="D357" s="128"/>
      <c r="E357" s="128" t="s">
        <v>149</v>
      </c>
      <c r="F357" s="153">
        <f>+'WS G  State Tax Rate'!F29</f>
        <v>4.9813000000000003E-2</v>
      </c>
      <c r="G357" s="128" t="s">
        <v>301</v>
      </c>
      <c r="M357" s="128"/>
      <c r="N357" s="128"/>
      <c r="O357" s="128"/>
      <c r="P357" s="128"/>
      <c r="Q357" s="128"/>
      <c r="R357" s="128"/>
      <c r="S357" s="128"/>
      <c r="T357" s="128"/>
    </row>
    <row r="358" spans="2:20">
      <c r="B358" s="276"/>
      <c r="C358" s="128"/>
      <c r="D358" s="128"/>
      <c r="E358" s="128" t="s">
        <v>150</v>
      </c>
      <c r="F358" s="117">
        <v>0</v>
      </c>
      <c r="G358" s="128" t="s">
        <v>151</v>
      </c>
      <c r="M358" s="128"/>
      <c r="N358" s="128"/>
      <c r="O358" s="128"/>
      <c r="P358" s="128"/>
      <c r="Q358" s="128"/>
      <c r="R358" s="128"/>
      <c r="S358" s="128"/>
      <c r="T358" s="128"/>
    </row>
    <row r="359" spans="2:20" ht="46.5" customHeight="1">
      <c r="B359" s="187"/>
      <c r="C359" s="133"/>
      <c r="D359" s="1137" t="s">
        <v>604</v>
      </c>
      <c r="E359" s="1137"/>
      <c r="F359" s="1137"/>
      <c r="G359" s="1137"/>
      <c r="H359" s="1137"/>
      <c r="I359" s="1137"/>
      <c r="J359" s="1137"/>
      <c r="M359" s="128"/>
      <c r="N359" s="128"/>
      <c r="O359" s="128"/>
      <c r="P359" s="128"/>
      <c r="Q359" s="128"/>
      <c r="R359" s="128"/>
      <c r="S359" s="128"/>
      <c r="T359" s="128"/>
    </row>
    <row r="360" spans="2:20">
      <c r="B360" s="132" t="s">
        <v>152</v>
      </c>
      <c r="C360" s="133"/>
      <c r="D360" s="128" t="s">
        <v>547</v>
      </c>
      <c r="M360" s="128"/>
      <c r="N360" s="128"/>
      <c r="O360" s="128"/>
      <c r="P360" s="128"/>
      <c r="Q360" s="128"/>
      <c r="R360" s="128"/>
      <c r="S360" s="128"/>
      <c r="T360" s="128"/>
    </row>
    <row r="361" spans="2:20">
      <c r="B361" s="123"/>
      <c r="D361" s="128"/>
      <c r="M361" s="128"/>
      <c r="N361" s="128"/>
      <c r="O361" s="128"/>
      <c r="P361" s="128"/>
      <c r="Q361" s="128"/>
      <c r="R361" s="128"/>
      <c r="S361" s="128"/>
      <c r="T361" s="128"/>
    </row>
    <row r="362" spans="2:20">
      <c r="B362" s="132" t="s">
        <v>153</v>
      </c>
      <c r="C362" s="133"/>
      <c r="D362" s="128" t="s">
        <v>359</v>
      </c>
      <c r="M362" s="128"/>
      <c r="N362" s="128"/>
      <c r="O362" s="128"/>
      <c r="P362" s="128"/>
      <c r="Q362" s="128"/>
      <c r="R362" s="128"/>
      <c r="S362" s="128"/>
      <c r="T362" s="128"/>
    </row>
    <row r="363" spans="2:20">
      <c r="B363" s="132"/>
      <c r="C363" s="133"/>
      <c r="D363" s="128"/>
      <c r="E363" s="128"/>
      <c r="F363" s="128"/>
      <c r="G363" s="128"/>
      <c r="H363" s="128"/>
      <c r="I363" s="128"/>
      <c r="J363" s="128"/>
      <c r="K363" s="128"/>
      <c r="L363" s="128"/>
      <c r="M363" s="128"/>
      <c r="N363" s="128"/>
      <c r="O363" s="128"/>
      <c r="P363" s="128"/>
      <c r="Q363" s="128"/>
      <c r="R363" s="128"/>
      <c r="S363" s="128"/>
      <c r="T363" s="128"/>
    </row>
    <row r="364" spans="2:20">
      <c r="B364" s="132" t="s">
        <v>154</v>
      </c>
      <c r="C364" s="133"/>
      <c r="D364" s="128" t="s">
        <v>618</v>
      </c>
      <c r="E364" s="128"/>
      <c r="F364" s="128"/>
      <c r="G364" s="128"/>
      <c r="H364" s="128"/>
      <c r="I364" s="128"/>
      <c r="J364" s="128"/>
      <c r="K364" s="128"/>
      <c r="L364" s="128"/>
      <c r="M364" s="128"/>
      <c r="N364" s="128"/>
      <c r="O364" s="128"/>
      <c r="P364" s="128"/>
      <c r="Q364" s="128"/>
      <c r="R364" s="128"/>
      <c r="S364" s="128"/>
      <c r="T364" s="128"/>
    </row>
    <row r="365" spans="2:20">
      <c r="B365" s="132"/>
      <c r="C365" s="133"/>
      <c r="D365" s="128"/>
      <c r="E365" s="128"/>
      <c r="F365" s="128"/>
      <c r="G365" s="128"/>
      <c r="H365" s="128"/>
      <c r="I365" s="128"/>
      <c r="J365" s="128"/>
      <c r="K365" s="128"/>
      <c r="L365" s="128"/>
      <c r="M365" s="128"/>
      <c r="N365" s="128"/>
      <c r="O365" s="128"/>
      <c r="P365" s="128"/>
      <c r="Q365" s="128"/>
      <c r="R365" s="128"/>
      <c r="S365" s="128"/>
      <c r="T365" s="128"/>
    </row>
    <row r="366" spans="2:20" ht="15.75" customHeight="1">
      <c r="B366" s="277" t="s">
        <v>155</v>
      </c>
      <c r="C366" s="150"/>
      <c r="D366" s="1116" t="str">
        <f>"Long Term Debt cost rate = long-term interest (Ln " &amp; B239 &amp;")/average long term debt (Ln "&amp;B249&amp;").  Preferred Stock cost rate = preferred dividends (Ln "&amp;B240&amp;")/preferred outstanding (ln "&amp;B250&amp;")."</f>
        <v>Long Term Debt cost rate = long-term interest (Ln 128)/average long term debt (Ln 136).  Preferred Stock cost rate = preferred dividends (Ln 129)/preferred outstanding (ln 137).</v>
      </c>
      <c r="E366" s="1116"/>
      <c r="F366" s="1116"/>
      <c r="G366" s="1116"/>
      <c r="H366" s="1116"/>
      <c r="I366" s="1116"/>
      <c r="J366" s="1116"/>
      <c r="M366"/>
      <c r="N366" s="128"/>
      <c r="O366" s="128"/>
      <c r="P366" s="128"/>
      <c r="Q366" s="128"/>
      <c r="R366" s="128"/>
      <c r="S366" s="128"/>
      <c r="T366" s="128"/>
    </row>
    <row r="367" spans="2:20" ht="15.75">
      <c r="B367" s="150"/>
      <c r="C367" s="150"/>
      <c r="D367" s="1116" t="s">
        <v>796</v>
      </c>
      <c r="E367" s="1116"/>
      <c r="F367" s="1116"/>
      <c r="G367" s="1116"/>
      <c r="H367" s="1116"/>
      <c r="I367" s="1116"/>
      <c r="J367" s="1116"/>
      <c r="M367"/>
      <c r="N367" s="128"/>
      <c r="O367" s="128"/>
      <c r="P367" s="128"/>
      <c r="Q367" s="128"/>
      <c r="R367" s="128"/>
      <c r="S367" s="128"/>
      <c r="T367" s="128"/>
    </row>
    <row r="368" spans="2:20" ht="15.75">
      <c r="B368" s="150"/>
      <c r="C368" s="150"/>
      <c r="D368" s="1116"/>
      <c r="E368" s="1116"/>
      <c r="F368" s="1116"/>
      <c r="G368" s="1116"/>
      <c r="H368" s="1116"/>
      <c r="I368" s="1116"/>
      <c r="J368" s="1116"/>
      <c r="M368"/>
      <c r="N368" s="128"/>
      <c r="O368" s="128"/>
      <c r="P368" s="128"/>
      <c r="Q368" s="128"/>
      <c r="R368" s="128"/>
      <c r="S368" s="128"/>
      <c r="T368" s="128"/>
    </row>
    <row r="369" spans="2:20" ht="95.25" customHeight="1">
      <c r="B369" s="150"/>
      <c r="C369" s="150"/>
      <c r="D369" s="1116"/>
      <c r="E369" s="1116"/>
      <c r="F369" s="1116"/>
      <c r="G369" s="1116"/>
      <c r="H369" s="1116"/>
      <c r="I369" s="1116"/>
      <c r="J369" s="1116"/>
      <c r="M369"/>
      <c r="N369" s="128"/>
      <c r="O369" s="128"/>
      <c r="P369" s="128"/>
      <c r="Q369" s="128"/>
      <c r="R369" s="128"/>
      <c r="S369" s="128"/>
      <c r="T369" s="128"/>
    </row>
    <row r="370" spans="2:20" ht="0.75" hidden="1" customHeight="1">
      <c r="B370" s="150"/>
      <c r="C370" s="150"/>
      <c r="D370" s="278"/>
      <c r="E370" s="278"/>
      <c r="F370" s="278"/>
      <c r="G370" s="278"/>
      <c r="H370" s="278"/>
      <c r="I370" s="278"/>
      <c r="J370" s="278"/>
      <c r="M370"/>
      <c r="N370" s="128"/>
      <c r="O370" s="128"/>
      <c r="P370" s="128"/>
      <c r="Q370" s="128"/>
      <c r="R370" s="128"/>
      <c r="S370" s="128"/>
      <c r="T370" s="128"/>
    </row>
    <row r="371" spans="2:20" ht="54.75" hidden="1" customHeight="1">
      <c r="B371" s="150"/>
      <c r="C371" s="150"/>
      <c r="D371" s="278"/>
      <c r="E371" s="278"/>
      <c r="F371" s="278"/>
      <c r="G371" s="278"/>
      <c r="H371" s="278"/>
      <c r="I371" s="278"/>
      <c r="J371" s="278"/>
      <c r="M371"/>
      <c r="N371" s="128"/>
      <c r="O371" s="128"/>
      <c r="P371" s="128"/>
      <c r="Q371" s="128"/>
      <c r="R371" s="128"/>
      <c r="S371" s="128"/>
      <c r="T371" s="128"/>
    </row>
    <row r="372" spans="2:20" ht="16.5" customHeight="1">
      <c r="B372" s="150"/>
      <c r="C372" s="150"/>
      <c r="D372" s="278"/>
      <c r="E372" s="278"/>
      <c r="F372" s="278"/>
      <c r="G372" s="278"/>
      <c r="H372" s="278"/>
      <c r="I372" s="278"/>
      <c r="J372" s="278"/>
      <c r="M372"/>
      <c r="N372" s="128"/>
      <c r="O372" s="128"/>
      <c r="P372" s="128"/>
      <c r="Q372" s="128"/>
      <c r="R372" s="128"/>
      <c r="S372" s="128"/>
      <c r="T372" s="128"/>
    </row>
    <row r="373" spans="2:20" ht="98.25" customHeight="1">
      <c r="B373" s="132" t="s">
        <v>201</v>
      </c>
      <c r="C373" s="150"/>
      <c r="D373" s="1126" t="s">
        <v>759</v>
      </c>
      <c r="E373" s="1127"/>
      <c r="F373" s="1127"/>
      <c r="G373" s="1127"/>
      <c r="H373" s="1127"/>
      <c r="I373" s="1127"/>
      <c r="J373" s="1127"/>
      <c r="M373" s="128"/>
      <c r="N373" s="128"/>
      <c r="O373" s="128"/>
      <c r="P373" s="128"/>
      <c r="Q373" s="128"/>
      <c r="R373" s="128"/>
      <c r="S373" s="128"/>
      <c r="T373" s="128"/>
    </row>
    <row r="374" spans="2:20" ht="15.75">
      <c r="B374" s="132"/>
      <c r="C374" s="150"/>
      <c r="D374" s="278"/>
      <c r="E374" s="279"/>
      <c r="F374" s="279"/>
      <c r="G374" s="279"/>
      <c r="H374" s="279"/>
      <c r="I374" s="279"/>
      <c r="J374" s="279"/>
      <c r="M374" s="128"/>
      <c r="N374" s="128"/>
      <c r="O374" s="128"/>
      <c r="P374" s="128"/>
      <c r="Q374" s="128"/>
      <c r="R374" s="128"/>
      <c r="S374" s="128"/>
      <c r="T374" s="128"/>
    </row>
    <row r="375" spans="2:20">
      <c r="B375" s="132" t="s">
        <v>559</v>
      </c>
      <c r="C375" s="280"/>
      <c r="D375" s="1125" t="s">
        <v>605</v>
      </c>
      <c r="E375" s="1125"/>
      <c r="F375" s="1125"/>
      <c r="G375" s="1125"/>
      <c r="H375" s="1125"/>
      <c r="I375" s="1125"/>
      <c r="J375" s="1125"/>
      <c r="K375" s="281"/>
      <c r="M375" s="128"/>
      <c r="N375" s="128"/>
      <c r="O375" s="128"/>
      <c r="P375" s="128"/>
      <c r="Q375" s="128"/>
      <c r="R375" s="128"/>
      <c r="S375" s="128"/>
      <c r="T375" s="128"/>
    </row>
    <row r="376" spans="2:20">
      <c r="B376" s="132"/>
      <c r="C376" s="133"/>
      <c r="D376" s="123" t="s">
        <v>414</v>
      </c>
      <c r="M376" s="128"/>
      <c r="N376" s="128"/>
      <c r="O376" s="128"/>
      <c r="P376" s="128"/>
      <c r="Q376" s="128"/>
      <c r="R376" s="128"/>
      <c r="S376" s="128"/>
      <c r="T376" s="128"/>
    </row>
    <row r="377" spans="2:20">
      <c r="B377" s="132" t="s">
        <v>606</v>
      </c>
      <c r="C377" s="133"/>
      <c r="D377" s="123" t="s">
        <v>607</v>
      </c>
      <c r="M377" s="128"/>
      <c r="N377" s="128"/>
      <c r="O377" s="128"/>
      <c r="P377" s="128"/>
      <c r="Q377" s="128"/>
      <c r="R377" s="128"/>
      <c r="S377" s="128"/>
      <c r="T377" s="128"/>
    </row>
    <row r="378" spans="2:20">
      <c r="B378" s="132"/>
      <c r="C378" s="133"/>
      <c r="M378" s="128"/>
      <c r="N378" s="128"/>
      <c r="O378" s="128"/>
      <c r="P378" s="128"/>
      <c r="Q378" s="128"/>
      <c r="R378" s="128"/>
      <c r="S378" s="128"/>
      <c r="T378" s="128"/>
    </row>
    <row r="379" spans="2:20" ht="30" customHeight="1">
      <c r="B379" s="132" t="s">
        <v>608</v>
      </c>
      <c r="C379" s="133"/>
      <c r="D379" s="1125" t="s">
        <v>609</v>
      </c>
      <c r="E379" s="1125"/>
      <c r="F379" s="1125"/>
      <c r="G379" s="1125"/>
      <c r="H379" s="1125"/>
      <c r="I379" s="1125"/>
      <c r="J379" s="1125"/>
      <c r="K379" s="1125"/>
      <c r="M379" s="128"/>
      <c r="N379" s="128"/>
      <c r="O379" s="128"/>
      <c r="P379" s="128"/>
      <c r="Q379" s="128"/>
      <c r="R379" s="128"/>
      <c r="S379" s="128"/>
      <c r="T379" s="128"/>
    </row>
    <row r="380" spans="2:20">
      <c r="B380"/>
      <c r="C380"/>
      <c r="D380"/>
      <c r="E380"/>
      <c r="F380"/>
      <c r="G380"/>
      <c r="H380"/>
      <c r="M380" s="128"/>
      <c r="N380" s="128"/>
      <c r="O380" s="128"/>
      <c r="P380" s="128"/>
      <c r="Q380" s="128"/>
      <c r="R380" s="128"/>
      <c r="S380" s="128"/>
      <c r="T380" s="128"/>
    </row>
    <row r="381" spans="2:20" ht="46.5" customHeight="1">
      <c r="B381" s="1" t="s">
        <v>610</v>
      </c>
      <c r="C381"/>
      <c r="D381" s="1125" t="s">
        <v>614</v>
      </c>
      <c r="E381" s="1125"/>
      <c r="F381" s="1125"/>
      <c r="G381" s="1125"/>
      <c r="H381" s="1125"/>
      <c r="I381" s="1125"/>
      <c r="J381" s="1125"/>
      <c r="K381" s="1125"/>
      <c r="M381" s="128"/>
      <c r="N381" s="128"/>
      <c r="O381" s="128"/>
      <c r="P381" s="128"/>
      <c r="Q381" s="128"/>
      <c r="R381" s="128"/>
      <c r="S381" s="128"/>
      <c r="T381" s="128"/>
    </row>
    <row r="382" spans="2:20">
      <c r="B382" s="1"/>
      <c r="C382"/>
      <c r="D382" s="1070"/>
      <c r="E382" s="1070"/>
      <c r="F382" s="1070"/>
      <c r="G382" s="1070"/>
      <c r="H382" s="1070"/>
      <c r="I382" s="1070"/>
      <c r="J382" s="1070"/>
      <c r="K382" s="1070"/>
      <c r="M382" s="128"/>
      <c r="N382" s="128"/>
      <c r="O382" s="128"/>
      <c r="P382" s="128"/>
      <c r="Q382" s="128"/>
      <c r="R382" s="128"/>
      <c r="S382" s="128"/>
      <c r="T382" s="128"/>
    </row>
    <row r="383" spans="2:20">
      <c r="B383" s="886" t="s">
        <v>641</v>
      </c>
      <c r="C383" s="887"/>
      <c r="D383" s="888" t="s">
        <v>642</v>
      </c>
      <c r="E383" s="723"/>
      <c r="F383" s="723"/>
      <c r="G383" s="723"/>
      <c r="H383" s="723"/>
      <c r="M383" s="128"/>
      <c r="N383" s="128"/>
      <c r="O383" s="128"/>
      <c r="P383" s="128"/>
      <c r="Q383" s="128"/>
      <c r="R383" s="128"/>
      <c r="S383" s="128"/>
      <c r="T383" s="128"/>
    </row>
    <row r="384" spans="2:20">
      <c r="B384" s="886"/>
      <c r="C384" s="887"/>
      <c r="D384" s="888"/>
      <c r="E384" s="723"/>
      <c r="F384" s="723"/>
      <c r="G384" s="723"/>
      <c r="H384" s="723"/>
      <c r="M384" s="128"/>
      <c r="N384" s="128"/>
      <c r="O384" s="128"/>
      <c r="P384" s="128"/>
      <c r="Q384" s="128"/>
      <c r="R384" s="128"/>
      <c r="S384" s="128"/>
      <c r="T384" s="128"/>
    </row>
    <row r="385" spans="2:20">
      <c r="B385" s="17" t="s">
        <v>830</v>
      </c>
      <c r="C385"/>
      <c r="D385" s="1124" t="s">
        <v>831</v>
      </c>
      <c r="E385" s="1124"/>
      <c r="F385" s="1124"/>
      <c r="G385" s="1124"/>
      <c r="H385" s="1124"/>
      <c r="I385" s="1124"/>
      <c r="J385" s="1124"/>
      <c r="K385" s="1124"/>
      <c r="M385" s="128"/>
      <c r="N385" s="128"/>
      <c r="O385" s="128"/>
      <c r="P385" s="128"/>
      <c r="Q385" s="128"/>
      <c r="R385" s="128"/>
      <c r="S385" s="128"/>
      <c r="T385" s="128"/>
    </row>
    <row r="386" spans="2:20">
      <c r="B386"/>
      <c r="C386"/>
      <c r="D386" s="1124"/>
      <c r="E386" s="1124"/>
      <c r="F386" s="1124"/>
      <c r="G386" s="1124"/>
      <c r="H386" s="1124"/>
      <c r="I386" s="1124"/>
      <c r="J386" s="1124"/>
      <c r="K386" s="1124"/>
      <c r="M386" s="128"/>
      <c r="N386" s="128"/>
      <c r="O386" s="128"/>
      <c r="P386" s="128"/>
      <c r="Q386" s="128"/>
      <c r="R386" s="128"/>
      <c r="S386" s="128"/>
      <c r="T386" s="128"/>
    </row>
    <row r="387" spans="2:20">
      <c r="B387" s="123"/>
      <c r="M387" s="128"/>
      <c r="N387" s="128"/>
      <c r="O387" s="128"/>
      <c r="P387" s="128"/>
      <c r="Q387" s="128"/>
      <c r="R387" s="128"/>
      <c r="S387" s="128"/>
      <c r="T387" s="128"/>
    </row>
    <row r="388" spans="2:20">
      <c r="B388" s="268"/>
      <c r="M388" s="128"/>
      <c r="N388" s="128"/>
      <c r="O388" s="128"/>
      <c r="P388" s="128"/>
      <c r="Q388" s="128"/>
      <c r="R388" s="128"/>
      <c r="S388" s="128"/>
      <c r="T388" s="128"/>
    </row>
    <row r="389" spans="2:20">
      <c r="H389" s="128"/>
      <c r="I389" s="128"/>
      <c r="J389" s="128"/>
      <c r="K389" s="128"/>
      <c r="L389" s="128"/>
      <c r="M389" s="128"/>
      <c r="N389" s="128"/>
      <c r="O389" s="128"/>
      <c r="P389" s="128"/>
      <c r="Q389" s="128"/>
      <c r="R389" s="128"/>
      <c r="S389" s="128"/>
      <c r="T389" s="128"/>
    </row>
    <row r="390" spans="2:20">
      <c r="B390" s="268"/>
      <c r="H390" s="128"/>
      <c r="K390" s="128"/>
      <c r="L390" s="128"/>
      <c r="M390" s="128"/>
      <c r="N390" s="128"/>
      <c r="O390" s="128"/>
      <c r="P390" s="128"/>
      <c r="Q390" s="128"/>
      <c r="R390" s="128"/>
      <c r="S390" s="128"/>
      <c r="T390" s="128"/>
    </row>
  </sheetData>
  <mergeCells count="23">
    <mergeCell ref="D385:K386"/>
    <mergeCell ref="D381:K381"/>
    <mergeCell ref="D373:J373"/>
    <mergeCell ref="D321:K323"/>
    <mergeCell ref="D338:K338"/>
    <mergeCell ref="D325:K327"/>
    <mergeCell ref="D375:J375"/>
    <mergeCell ref="D328:J329"/>
    <mergeCell ref="D345:L347"/>
    <mergeCell ref="D334:J336"/>
    <mergeCell ref="D379:K379"/>
    <mergeCell ref="D359:J359"/>
    <mergeCell ref="D367:J369"/>
    <mergeCell ref="G265:H265"/>
    <mergeCell ref="G247:H247"/>
    <mergeCell ref="D297:K298"/>
    <mergeCell ref="D366:J366"/>
    <mergeCell ref="B21:I22"/>
    <mergeCell ref="I57:J57"/>
    <mergeCell ref="I60:J60"/>
    <mergeCell ref="I127:J127"/>
    <mergeCell ref="I130:J130"/>
    <mergeCell ref="D39:L39"/>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151"/>
  <sheetViews>
    <sheetView zoomScaleNormal="100" workbookViewId="0">
      <selection activeCell="E14" sqref="E14"/>
    </sheetView>
  </sheetViews>
  <sheetFormatPr defaultRowHeight="15"/>
  <cols>
    <col min="1" max="1" width="9.42578125" style="356" customWidth="1"/>
    <col min="2" max="2" width="6.7109375" style="356" customWidth="1"/>
    <col min="3" max="7" width="12.7109375" style="356" customWidth="1"/>
    <col min="8" max="8" width="19.28515625" style="356" customWidth="1"/>
    <col min="9" max="9" width="15" style="356" bestFit="1" customWidth="1"/>
    <col min="10" max="11" width="16.5703125" style="356" bestFit="1" customWidth="1"/>
    <col min="12" max="13" width="22.140625" style="356" bestFit="1" customWidth="1"/>
    <col min="14" max="14" width="8.42578125" style="356" customWidth="1"/>
    <col min="15" max="38" width="12.7109375" style="356" customWidth="1"/>
    <col min="39" max="16384" width="9.140625" style="356"/>
  </cols>
  <sheetData>
    <row r="1" spans="1:22" ht="15.75">
      <c r="A1" s="712" t="s">
        <v>414</v>
      </c>
    </row>
    <row r="2" spans="1:22" ht="15.75">
      <c r="A2" s="712" t="s">
        <v>414</v>
      </c>
    </row>
    <row r="3" spans="1:22">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139" t="str">
        <f>TCOS!$F$5</f>
        <v>AEPTCo subsidiaries in PJM</v>
      </c>
      <c r="K3" s="1139" t="str">
        <f>TCOS!$F$5</f>
        <v>AEPTCo subsidiaries in PJM</v>
      </c>
      <c r="L3" s="17"/>
      <c r="M3" s="17"/>
      <c r="N3" s="17"/>
      <c r="O3" s="17"/>
    </row>
    <row r="4" spans="1:22">
      <c r="A4" s="1140" t="str">
        <f>"Cost of Service Formula Rate Using Actual/Projected FF1 Balances"</f>
        <v>Cost of Service Formula Rate Using Actual/Projected FF1 Balances</v>
      </c>
      <c r="B4" s="1140"/>
      <c r="C4" s="1140"/>
      <c r="D4" s="1140"/>
      <c r="E4" s="1140"/>
      <c r="F4" s="1140"/>
      <c r="G4" s="1140"/>
      <c r="H4" s="1140"/>
      <c r="I4" s="1140"/>
      <c r="J4" s="1140"/>
      <c r="K4" s="1140"/>
      <c r="L4" s="45"/>
      <c r="M4" s="45"/>
      <c r="N4" s="45"/>
      <c r="O4" s="45"/>
    </row>
    <row r="5" spans="1:22">
      <c r="A5" s="1140" t="s">
        <v>22</v>
      </c>
      <c r="B5" s="1140"/>
      <c r="C5" s="1140"/>
      <c r="D5" s="1140"/>
      <c r="E5" s="1140"/>
      <c r="F5" s="1140"/>
      <c r="G5" s="1140"/>
      <c r="H5" s="1140"/>
      <c r="I5" s="1140"/>
      <c r="J5" s="1140"/>
      <c r="K5" s="1140"/>
      <c r="L5" s="44"/>
      <c r="M5" s="44"/>
      <c r="N5" s="44"/>
      <c r="O5" s="44"/>
    </row>
    <row r="6" spans="1:22">
      <c r="A6" s="1151" t="str">
        <f>TCOS!F9</f>
        <v>AEP Indiana Michigan Transmission Company</v>
      </c>
      <c r="B6" s="1151"/>
      <c r="C6" s="1151"/>
      <c r="D6" s="1151"/>
      <c r="E6" s="1151"/>
      <c r="F6" s="1151"/>
      <c r="G6" s="1151"/>
      <c r="H6" s="1151"/>
      <c r="I6" s="1151"/>
      <c r="J6" s="1151"/>
      <c r="K6" s="1151"/>
      <c r="L6" s="2"/>
      <c r="M6" s="2"/>
      <c r="N6" s="2"/>
      <c r="O6" s="2"/>
    </row>
    <row r="8" spans="1:22" ht="18">
      <c r="A8" s="1176"/>
      <c r="B8" s="1176"/>
      <c r="C8" s="1176"/>
      <c r="D8" s="1176"/>
      <c r="E8" s="1176"/>
      <c r="F8" s="1176"/>
      <c r="G8" s="1176"/>
      <c r="H8" s="1176"/>
      <c r="I8" s="1176"/>
      <c r="J8" s="1176"/>
      <c r="K8" s="1176"/>
      <c r="L8" s="357"/>
      <c r="M8" s="358"/>
    </row>
    <row r="9" spans="1:22" ht="18">
      <c r="A9" s="67"/>
      <c r="B9" s="67"/>
      <c r="C9" s="67"/>
      <c r="D9" s="67"/>
      <c r="E9" s="67"/>
      <c r="F9" s="67"/>
      <c r="G9" s="67"/>
      <c r="H9" s="67"/>
      <c r="I9" s="67"/>
      <c r="J9" s="67"/>
      <c r="K9" s="67"/>
      <c r="L9" s="357"/>
      <c r="M9" s="358"/>
    </row>
    <row r="10" spans="1:22" ht="15.75">
      <c r="A10" s="359" t="s">
        <v>467</v>
      </c>
      <c r="B10" s="357"/>
      <c r="C10" s="16"/>
      <c r="D10" s="16"/>
      <c r="E10" s="16"/>
      <c r="F10" s="16"/>
      <c r="G10" s="360"/>
      <c r="H10" s="360"/>
      <c r="I10" s="359" t="s">
        <v>480</v>
      </c>
      <c r="J10" s="359" t="s">
        <v>363</v>
      </c>
      <c r="K10" s="361"/>
      <c r="N10" s="362"/>
      <c r="P10" s="362"/>
      <c r="R10" s="362"/>
      <c r="S10" s="362"/>
      <c r="T10" s="362"/>
      <c r="U10" s="129"/>
      <c r="V10" s="129"/>
    </row>
    <row r="11" spans="1:22" ht="15.75">
      <c r="A11" s="359" t="s">
        <v>405</v>
      </c>
      <c r="B11" s="1177" t="s">
        <v>465</v>
      </c>
      <c r="C11" s="1177"/>
      <c r="D11" s="1177"/>
      <c r="E11" s="1177"/>
      <c r="F11" s="1177"/>
      <c r="G11" s="1177"/>
      <c r="H11" s="1177"/>
      <c r="I11" s="359" t="s">
        <v>481</v>
      </c>
      <c r="J11" s="359" t="s">
        <v>415</v>
      </c>
      <c r="K11" s="359" t="s">
        <v>415</v>
      </c>
      <c r="N11" s="362"/>
      <c r="O11" s="362"/>
      <c r="P11" s="362"/>
      <c r="Q11" s="362"/>
      <c r="R11" s="362"/>
      <c r="S11" s="362"/>
      <c r="T11" s="363"/>
      <c r="U11" s="129"/>
      <c r="V11" s="129"/>
    </row>
    <row r="12" spans="1:22" ht="15.75">
      <c r="A12" s="360"/>
      <c r="B12" s="364"/>
      <c r="C12" s="357"/>
      <c r="D12" s="360"/>
      <c r="E12" s="360"/>
      <c r="F12" s="360"/>
      <c r="G12" s="360"/>
      <c r="H12" s="360"/>
      <c r="I12" s="360"/>
      <c r="J12" s="360"/>
      <c r="K12" s="365"/>
      <c r="N12" s="362"/>
      <c r="O12" s="362"/>
      <c r="P12" s="362"/>
      <c r="Q12" s="362"/>
      <c r="R12" s="362"/>
      <c r="S12" s="362"/>
      <c r="T12" s="363"/>
      <c r="U12" s="129"/>
      <c r="V12" s="129"/>
    </row>
    <row r="13" spans="1:22" s="368" customFormat="1" ht="12.75">
      <c r="A13" s="366">
        <v>1</v>
      </c>
      <c r="B13" s="367" t="s">
        <v>9</v>
      </c>
      <c r="D13" s="369"/>
      <c r="E13" s="369"/>
      <c r="F13" s="370"/>
      <c r="G13" s="369"/>
      <c r="H13" s="369"/>
      <c r="I13" s="382">
        <v>0</v>
      </c>
      <c r="J13" s="371">
        <f>+I13-K13</f>
        <v>0</v>
      </c>
      <c r="K13" s="382">
        <v>0</v>
      </c>
      <c r="N13" s="3"/>
      <c r="O13" s="3"/>
      <c r="P13" s="3"/>
      <c r="Q13" s="3"/>
      <c r="R13" s="3"/>
      <c r="S13" s="3"/>
      <c r="T13" s="47"/>
      <c r="U13" s="3"/>
      <c r="V13" s="3"/>
    </row>
    <row r="14" spans="1:22" s="368" customFormat="1" ht="12.75">
      <c r="A14" s="366"/>
      <c r="B14" s="367"/>
      <c r="D14" s="369"/>
      <c r="E14" s="369"/>
      <c r="F14" s="370"/>
      <c r="G14" s="369"/>
      <c r="H14" s="369"/>
      <c r="I14" s="372"/>
      <c r="J14" s="370"/>
      <c r="K14" s="370"/>
      <c r="N14" s="3"/>
      <c r="O14" s="3"/>
      <c r="P14" s="3"/>
      <c r="Q14" s="3"/>
      <c r="R14" s="3"/>
      <c r="S14" s="3"/>
      <c r="T14" s="47"/>
      <c r="U14" s="3"/>
      <c r="V14" s="3"/>
    </row>
    <row r="15" spans="1:22" s="368" customFormat="1" ht="12.75">
      <c r="A15" s="366">
        <f>+A13+1</f>
        <v>2</v>
      </c>
      <c r="B15" s="367" t="s">
        <v>10</v>
      </c>
      <c r="D15" s="369"/>
      <c r="E15" s="369"/>
      <c r="F15" s="370"/>
      <c r="G15" s="369"/>
      <c r="H15" s="370"/>
      <c r="I15" s="382">
        <v>0</v>
      </c>
      <c r="J15" s="371">
        <f>+I15-K15</f>
        <v>0</v>
      </c>
      <c r="K15" s="382">
        <v>0</v>
      </c>
      <c r="N15" s="3"/>
      <c r="O15" s="3"/>
      <c r="P15" s="3"/>
      <c r="Q15" s="3"/>
      <c r="R15" s="3"/>
      <c r="S15" s="3"/>
      <c r="T15" s="3"/>
      <c r="U15" s="3"/>
      <c r="V15" s="3"/>
    </row>
    <row r="16" spans="1:22" s="368" customFormat="1" ht="12.75">
      <c r="A16" s="366"/>
      <c r="B16" s="367"/>
      <c r="D16" s="369"/>
      <c r="E16" s="369"/>
      <c r="F16" s="370"/>
      <c r="G16" s="369"/>
      <c r="H16" s="370"/>
      <c r="I16" s="370"/>
      <c r="J16" s="370"/>
      <c r="K16" s="373"/>
      <c r="N16" s="3"/>
      <c r="O16" s="3"/>
      <c r="P16" s="3"/>
      <c r="Q16" s="3"/>
      <c r="R16" s="3"/>
      <c r="S16" s="3"/>
      <c r="T16" s="3"/>
      <c r="U16" s="3"/>
      <c r="V16" s="3"/>
    </row>
    <row r="17" spans="1:22" s="368" customFormat="1" ht="12.75">
      <c r="A17" s="366">
        <f>+A15+1</f>
        <v>3</v>
      </c>
      <c r="B17" s="367" t="s">
        <v>11</v>
      </c>
      <c r="D17" s="369"/>
      <c r="E17" s="369"/>
      <c r="F17" s="370"/>
      <c r="G17" s="369"/>
      <c r="H17" s="369"/>
      <c r="I17" s="382">
        <v>1946372.088</v>
      </c>
      <c r="J17" s="371">
        <f>+I17-K17</f>
        <v>0</v>
      </c>
      <c r="K17" s="382">
        <f>I17</f>
        <v>1946372.088</v>
      </c>
      <c r="N17" s="3"/>
      <c r="O17" s="3"/>
      <c r="P17" s="3"/>
      <c r="Q17" s="3"/>
      <c r="R17" s="3"/>
      <c r="S17" s="3"/>
      <c r="T17" s="3"/>
      <c r="U17" s="3"/>
      <c r="V17" s="3"/>
    </row>
    <row r="18" spans="1:22" s="368" customFormat="1" ht="12.75">
      <c r="A18" s="366"/>
      <c r="B18" s="370"/>
      <c r="D18" s="369"/>
      <c r="E18" s="369"/>
      <c r="F18" s="370"/>
      <c r="G18" s="373"/>
      <c r="H18" s="370"/>
      <c r="I18" s="370"/>
      <c r="J18" s="370"/>
      <c r="K18" s="370"/>
      <c r="N18" s="3"/>
      <c r="O18" s="3"/>
      <c r="P18" s="3"/>
      <c r="Q18" s="3"/>
      <c r="R18" s="3"/>
      <c r="S18" s="3"/>
      <c r="T18" s="3"/>
      <c r="U18" s="3"/>
      <c r="V18" s="3"/>
    </row>
    <row r="19" spans="1:22" s="368" customFormat="1" ht="12.75">
      <c r="A19" s="708">
        <v>4</v>
      </c>
      <c r="B19" s="893" t="s">
        <v>764</v>
      </c>
      <c r="C19" s="3"/>
      <c r="D19" s="894"/>
      <c r="E19" s="894"/>
      <c r="F19" s="894"/>
      <c r="G19" s="709"/>
      <c r="H19" s="894"/>
      <c r="I19" s="382">
        <v>0</v>
      </c>
      <c r="J19" s="371">
        <f>+I19-K19</f>
        <v>0</v>
      </c>
      <c r="K19" s="382">
        <v>0</v>
      </c>
      <c r="N19" s="375"/>
      <c r="O19" s="3"/>
      <c r="P19" s="3"/>
      <c r="Q19" s="3"/>
      <c r="R19" s="3"/>
      <c r="S19" s="3"/>
      <c r="T19" s="3"/>
      <c r="U19" s="3"/>
      <c r="V19" s="3"/>
    </row>
    <row r="20" spans="1:22" s="368" customFormat="1" ht="12.75">
      <c r="A20" s="708"/>
      <c r="B20" s="893"/>
      <c r="C20" s="3"/>
      <c r="D20" s="894"/>
      <c r="E20" s="894"/>
      <c r="F20" s="894"/>
      <c r="G20" s="709"/>
      <c r="H20" s="894"/>
      <c r="I20" s="3"/>
      <c r="J20" s="3"/>
      <c r="K20" s="3"/>
      <c r="L20" s="3"/>
      <c r="N20" s="375"/>
      <c r="O20" s="3"/>
      <c r="P20" s="3"/>
      <c r="Q20" s="3"/>
      <c r="R20" s="3"/>
      <c r="S20" s="3"/>
      <c r="T20" s="3"/>
      <c r="U20" s="3"/>
      <c r="V20" s="3"/>
    </row>
    <row r="21" spans="1:22" s="368" customFormat="1" ht="12.75">
      <c r="A21" s="708">
        <v>5</v>
      </c>
      <c r="B21" s="893" t="s">
        <v>765</v>
      </c>
      <c r="C21" s="3"/>
      <c r="D21" s="894"/>
      <c r="E21" s="894"/>
      <c r="F21" s="894"/>
      <c r="G21" s="709"/>
      <c r="H21" s="894"/>
      <c r="I21" s="382">
        <v>568236704.00049412</v>
      </c>
      <c r="J21" s="371">
        <f>+I21-K21</f>
        <v>567995651.00049412</v>
      </c>
      <c r="K21" s="382">
        <v>241053</v>
      </c>
      <c r="N21" s="375"/>
      <c r="O21" s="3"/>
      <c r="P21" s="3"/>
      <c r="Q21" s="3"/>
      <c r="R21" s="3"/>
      <c r="S21" s="3"/>
      <c r="T21" s="3"/>
      <c r="U21" s="3"/>
      <c r="V21" s="3"/>
    </row>
    <row r="22" spans="1:22" s="368" customFormat="1" ht="12.75">
      <c r="A22" s="708"/>
      <c r="B22" s="893"/>
      <c r="C22" s="3"/>
      <c r="D22" s="894"/>
      <c r="E22" s="894"/>
      <c r="F22" s="894"/>
      <c r="G22" s="709"/>
      <c r="H22" s="894"/>
      <c r="I22" s="382"/>
      <c r="J22" s="371"/>
      <c r="K22" s="382"/>
      <c r="N22" s="375"/>
      <c r="O22" s="3"/>
      <c r="P22" s="3"/>
      <c r="Q22" s="3"/>
      <c r="R22" s="3"/>
      <c r="S22" s="3"/>
      <c r="T22" s="3"/>
      <c r="U22" s="3"/>
      <c r="V22" s="3"/>
    </row>
    <row r="23" spans="1:22" s="368" customFormat="1" ht="12.75">
      <c r="A23" s="708" t="s">
        <v>625</v>
      </c>
      <c r="B23" s="893" t="s">
        <v>626</v>
      </c>
      <c r="C23" s="3"/>
      <c r="D23" s="894"/>
      <c r="E23" s="894"/>
      <c r="F23" s="894"/>
      <c r="G23" s="709"/>
      <c r="H23" s="894"/>
      <c r="I23" s="710"/>
      <c r="J23" s="711">
        <v>0</v>
      </c>
      <c r="K23" s="710"/>
      <c r="N23" s="375"/>
      <c r="O23" s="3"/>
      <c r="P23" s="3"/>
      <c r="Q23" s="3"/>
      <c r="R23" s="3"/>
      <c r="S23" s="3"/>
      <c r="T23" s="3"/>
      <c r="U23" s="3"/>
      <c r="V23" s="3"/>
    </row>
    <row r="24" spans="1:22" s="368" customFormat="1" ht="12.75">
      <c r="A24" s="708"/>
      <c r="B24" s="893"/>
      <c r="C24" s="3"/>
      <c r="D24" s="894"/>
      <c r="E24" s="894"/>
      <c r="F24" s="894"/>
      <c r="G24" s="709"/>
      <c r="H24" s="894"/>
      <c r="I24" s="710"/>
      <c r="J24" s="711"/>
      <c r="K24" s="710"/>
      <c r="N24" s="375"/>
      <c r="O24" s="3"/>
      <c r="P24" s="3"/>
      <c r="Q24" s="3"/>
      <c r="R24" s="3"/>
      <c r="S24" s="3"/>
      <c r="T24" s="3"/>
      <c r="U24" s="3"/>
      <c r="V24" s="3"/>
    </row>
    <row r="25" spans="1:22" s="368" customFormat="1" ht="12.75">
      <c r="A25" s="708" t="s">
        <v>627</v>
      </c>
      <c r="B25" s="893" t="s">
        <v>628</v>
      </c>
      <c r="C25" s="3"/>
      <c r="D25" s="894"/>
      <c r="E25" s="894"/>
      <c r="F25" s="894"/>
      <c r="G25" s="709"/>
      <c r="H25" s="894"/>
      <c r="I25" s="710"/>
      <c r="J25" s="711">
        <v>0</v>
      </c>
      <c r="K25" s="710"/>
      <c r="N25" s="375"/>
      <c r="O25" s="3"/>
      <c r="P25" s="3"/>
      <c r="Q25" s="3"/>
      <c r="R25" s="3"/>
      <c r="S25" s="3"/>
      <c r="T25" s="3"/>
      <c r="U25" s="3"/>
      <c r="V25" s="3"/>
    </row>
    <row r="26" spans="1:22" s="368" customFormat="1" ht="12.75">
      <c r="A26" s="366"/>
      <c r="B26" s="374"/>
      <c r="D26" s="369"/>
      <c r="E26" s="369"/>
      <c r="F26" s="370"/>
      <c r="G26" s="373"/>
      <c r="H26" s="370"/>
      <c r="I26" s="3"/>
      <c r="J26" s="3"/>
      <c r="K26" s="3"/>
      <c r="N26" s="3"/>
      <c r="O26" s="3"/>
      <c r="P26" s="3"/>
      <c r="Q26" s="3"/>
      <c r="R26" s="3"/>
      <c r="S26" s="3"/>
      <c r="T26" s="3"/>
      <c r="U26" s="3"/>
      <c r="V26" s="3"/>
    </row>
    <row r="27" spans="1:22" s="368" customFormat="1" ht="12.75">
      <c r="A27" s="366">
        <f>+A21+1</f>
        <v>6</v>
      </c>
      <c r="B27" s="374" t="s">
        <v>335</v>
      </c>
      <c r="D27" s="369"/>
      <c r="E27" s="369"/>
      <c r="F27" s="370"/>
      <c r="G27" s="373"/>
      <c r="H27" s="370"/>
      <c r="I27" s="376">
        <f>+I21+I19+I17+I15+I13+I23+I25</f>
        <v>570183076.08849418</v>
      </c>
      <c r="J27" s="376">
        <f>+J21+J19+J17+J15+J13+J23+J25</f>
        <v>567995651.00049412</v>
      </c>
      <c r="K27" s="376">
        <f>+K21+K19+K17+K15+K13+K23+K25</f>
        <v>2187425.088</v>
      </c>
      <c r="N27" s="3"/>
      <c r="O27" s="3"/>
      <c r="P27" s="3"/>
      <c r="Q27" s="3"/>
      <c r="R27" s="3"/>
      <c r="S27" s="3"/>
      <c r="T27" s="3"/>
      <c r="U27" s="3"/>
      <c r="V27" s="3"/>
    </row>
    <row r="28" spans="1:22" s="368" customFormat="1" ht="12.75">
      <c r="A28" s="366"/>
      <c r="B28" s="374"/>
      <c r="D28" s="369"/>
      <c r="E28" s="369"/>
      <c r="F28" s="370"/>
      <c r="G28" s="373"/>
      <c r="H28" s="370"/>
      <c r="I28" s="3"/>
      <c r="J28" s="3"/>
      <c r="K28" s="3"/>
      <c r="N28" s="3"/>
      <c r="O28" s="3"/>
      <c r="P28" s="3"/>
      <c r="Q28" s="3"/>
      <c r="R28" s="3"/>
      <c r="S28" s="3"/>
      <c r="T28" s="3"/>
      <c r="U28" s="3"/>
      <c r="V28" s="3"/>
    </row>
    <row r="29" spans="1:22" s="368" customFormat="1" ht="12.75">
      <c r="A29" s="366">
        <f>+A27+1</f>
        <v>7</v>
      </c>
      <c r="B29" s="1175" t="s">
        <v>12</v>
      </c>
      <c r="C29" s="1115"/>
      <c r="D29" s="1115"/>
      <c r="E29" s="1115"/>
      <c r="F29" s="1115"/>
      <c r="G29" s="1115"/>
      <c r="H29" s="370"/>
      <c r="I29" s="382"/>
      <c r="J29" s="371">
        <f>+I29-K29</f>
        <v>0</v>
      </c>
      <c r="K29" s="382"/>
      <c r="N29" s="3"/>
      <c r="O29" s="3"/>
      <c r="P29" s="3"/>
      <c r="Q29" s="3"/>
      <c r="R29" s="3"/>
      <c r="S29" s="3"/>
      <c r="T29" s="3"/>
      <c r="U29" s="3"/>
      <c r="V29" s="3"/>
    </row>
    <row r="30" spans="1:22" s="368" customFormat="1" ht="12.75">
      <c r="A30" s="366"/>
      <c r="B30" s="1115"/>
      <c r="C30" s="1115"/>
      <c r="D30" s="1115"/>
      <c r="E30" s="1115"/>
      <c r="F30" s="1115"/>
      <c r="G30" s="1115"/>
      <c r="H30" s="370"/>
      <c r="I30" s="371"/>
      <c r="J30" s="370"/>
      <c r="K30" s="371"/>
      <c r="N30" s="3"/>
      <c r="O30" s="3"/>
      <c r="P30" s="3"/>
      <c r="Q30" s="3"/>
      <c r="R30" s="3"/>
      <c r="S30" s="3"/>
      <c r="T30" s="3"/>
      <c r="U30" s="3"/>
      <c r="V30" s="3"/>
    </row>
    <row r="31" spans="1:22" s="368" customFormat="1" ht="12.75">
      <c r="A31" s="366">
        <f>+A29+1</f>
        <v>8</v>
      </c>
      <c r="B31" s="374" t="s">
        <v>505</v>
      </c>
      <c r="D31" s="369"/>
      <c r="E31" s="369"/>
      <c r="F31" s="370"/>
      <c r="G31" s="373"/>
      <c r="H31" s="370"/>
      <c r="I31" s="377">
        <f>+I27+I29</f>
        <v>570183076.08849418</v>
      </c>
      <c r="J31" s="377">
        <f>+J27+J29</f>
        <v>567995651.00049412</v>
      </c>
      <c r="K31" s="377">
        <f>+K27+K29</f>
        <v>2187425.088</v>
      </c>
      <c r="N31" s="3"/>
      <c r="O31" s="3"/>
      <c r="P31" s="3"/>
      <c r="Q31" s="3"/>
      <c r="R31" s="3"/>
      <c r="S31" s="3"/>
      <c r="T31" s="3"/>
      <c r="U31" s="3"/>
      <c r="V31" s="3"/>
    </row>
    <row r="32" spans="1:22" s="368" customFormat="1" ht="12.75">
      <c r="A32" s="366"/>
      <c r="B32" s="374"/>
      <c r="D32" s="369"/>
      <c r="E32" s="369"/>
      <c r="F32" s="370"/>
      <c r="G32" s="373"/>
      <c r="H32" s="370"/>
      <c r="I32" s="371"/>
      <c r="J32" s="371"/>
      <c r="K32" s="371"/>
      <c r="N32" s="3"/>
      <c r="O32" s="3"/>
      <c r="P32" s="3"/>
      <c r="Q32" s="3"/>
      <c r="R32" s="3"/>
      <c r="S32" s="3"/>
      <c r="T32" s="3"/>
      <c r="U32" s="3"/>
      <c r="V32" s="3"/>
    </row>
    <row r="33" spans="1:22" s="368" customFormat="1" ht="12.75">
      <c r="A33" s="366">
        <v>9</v>
      </c>
      <c r="B33" s="367" t="s">
        <v>555</v>
      </c>
      <c r="D33" s="369"/>
      <c r="E33" s="369"/>
      <c r="F33" s="370"/>
      <c r="G33" s="373"/>
      <c r="H33" s="370"/>
      <c r="I33" s="371"/>
      <c r="J33" s="371"/>
      <c r="K33" s="382"/>
      <c r="N33" s="3"/>
      <c r="O33" s="3"/>
      <c r="P33" s="3"/>
      <c r="Q33" s="3"/>
      <c r="R33" s="3"/>
      <c r="S33" s="3"/>
      <c r="T33" s="3"/>
      <c r="U33" s="3"/>
      <c r="V33" s="3"/>
    </row>
    <row r="34" spans="1:22" s="368" customFormat="1" ht="12.75">
      <c r="A34" s="366"/>
      <c r="B34" s="374"/>
      <c r="D34" s="369"/>
      <c r="E34" s="369"/>
      <c r="F34" s="370"/>
      <c r="G34" s="373"/>
      <c r="H34" s="370"/>
      <c r="I34" s="371"/>
      <c r="J34" s="371"/>
      <c r="K34" s="371"/>
      <c r="N34" s="3"/>
      <c r="O34" s="3"/>
      <c r="P34" s="3"/>
      <c r="Q34" s="3"/>
      <c r="R34" s="3"/>
      <c r="S34" s="3"/>
      <c r="T34" s="3"/>
      <c r="U34" s="3"/>
      <c r="V34" s="3"/>
    </row>
    <row r="35" spans="1:22" ht="15.75">
      <c r="A35" s="378"/>
      <c r="C35" s="364"/>
      <c r="D35" s="357"/>
      <c r="E35" s="357"/>
      <c r="F35" s="360"/>
      <c r="G35" s="379"/>
      <c r="H35" s="360"/>
      <c r="I35" s="380"/>
      <c r="J35" s="360"/>
      <c r="K35" s="360"/>
      <c r="L35" s="360"/>
      <c r="M35" s="380"/>
      <c r="N35" s="129"/>
      <c r="O35" s="16"/>
      <c r="P35" s="16"/>
      <c r="Q35" s="16"/>
      <c r="R35" s="16"/>
      <c r="S35" s="129"/>
      <c r="T35" s="129"/>
      <c r="U35" s="129"/>
      <c r="V35" s="129"/>
    </row>
    <row r="36" spans="1:22" s="368" customFormat="1" ht="12.75" customHeight="1">
      <c r="A36" s="41" t="s">
        <v>295</v>
      </c>
      <c r="B36" s="1174"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Indiana Michigan Transmission Company's general ledger. The functional amounts identified as transmission revenue also come from the general ledger. </v>
      </c>
      <c r="C36" s="1174"/>
      <c r="D36" s="1174"/>
      <c r="E36" s="1174"/>
      <c r="F36" s="1174"/>
      <c r="G36" s="1174"/>
      <c r="H36" s="1174"/>
      <c r="I36" s="1174"/>
      <c r="J36" s="1174"/>
      <c r="K36" s="3"/>
      <c r="L36" s="3"/>
      <c r="M36" s="3"/>
      <c r="N36" s="3"/>
      <c r="O36" s="3"/>
      <c r="P36" s="3"/>
      <c r="Q36" s="3"/>
      <c r="R36" s="3"/>
      <c r="S36" s="3"/>
      <c r="T36" s="47"/>
      <c r="U36" s="3"/>
      <c r="V36" s="3"/>
    </row>
    <row r="37" spans="1:22" s="368" customFormat="1" ht="12.75">
      <c r="A37" s="3"/>
      <c r="B37" s="1174"/>
      <c r="C37" s="1174"/>
      <c r="D37" s="1174"/>
      <c r="E37" s="1174"/>
      <c r="F37" s="1174"/>
      <c r="G37" s="1174"/>
      <c r="H37" s="1174"/>
      <c r="I37" s="1174"/>
      <c r="J37" s="1174"/>
      <c r="K37" s="3"/>
      <c r="L37" s="3"/>
      <c r="M37" s="70"/>
      <c r="N37" s="70"/>
      <c r="O37" s="70"/>
      <c r="P37" s="70"/>
      <c r="Q37" s="70"/>
      <c r="R37" s="3"/>
      <c r="S37" s="3"/>
      <c r="T37" s="3"/>
      <c r="U37" s="3"/>
      <c r="V37" s="3"/>
    </row>
    <row r="38" spans="1:22" s="368" customFormat="1" ht="12.75">
      <c r="A38" s="3" t="s">
        <v>629</v>
      </c>
      <c r="B38" s="895" t="s">
        <v>630</v>
      </c>
      <c r="C38" s="707"/>
      <c r="D38" s="707"/>
      <c r="E38" s="707"/>
      <c r="F38" s="707"/>
      <c r="G38" s="707"/>
      <c r="H38" s="707"/>
      <c r="I38" s="707"/>
      <c r="J38" s="707"/>
      <c r="K38" s="70"/>
      <c r="L38" s="3"/>
      <c r="M38" s="70"/>
      <c r="N38" s="70"/>
      <c r="O38" s="70"/>
      <c r="P38" s="70"/>
      <c r="Q38" s="70"/>
      <c r="R38" s="3"/>
      <c r="S38" s="3"/>
      <c r="T38" s="3"/>
      <c r="U38" s="3"/>
      <c r="V38" s="3"/>
    </row>
    <row r="39" spans="1:22" ht="15.75">
      <c r="A39" s="129"/>
      <c r="B39" s="129"/>
      <c r="E39" s="381"/>
      <c r="F39" s="381"/>
      <c r="G39" s="381"/>
      <c r="H39" s="381"/>
      <c r="I39" s="381"/>
      <c r="J39" s="381"/>
      <c r="K39" s="381"/>
      <c r="L39" s="129"/>
      <c r="M39" s="381"/>
      <c r="N39" s="381"/>
      <c r="O39" s="381"/>
      <c r="P39" s="381"/>
      <c r="Q39" s="381"/>
      <c r="R39" s="129"/>
      <c r="S39" s="129"/>
      <c r="T39" s="129"/>
      <c r="U39" s="129"/>
      <c r="V39" s="129"/>
    </row>
    <row r="40" spans="1:22" ht="15.75">
      <c r="A40" s="129"/>
      <c r="B40" s="129"/>
      <c r="E40" s="381"/>
      <c r="F40" s="381"/>
      <c r="G40" s="381"/>
      <c r="H40" s="381"/>
      <c r="I40" s="381"/>
      <c r="J40" s="381"/>
      <c r="K40" s="381"/>
      <c r="L40" s="129"/>
      <c r="M40" s="381"/>
      <c r="N40" s="381"/>
      <c r="O40" s="381"/>
      <c r="P40" s="381"/>
      <c r="Q40" s="381"/>
      <c r="R40" s="129"/>
      <c r="S40" s="129"/>
      <c r="T40" s="129"/>
      <c r="U40" s="129"/>
      <c r="V40" s="129"/>
    </row>
    <row r="41" spans="1:22" ht="15.75">
      <c r="A41" s="129"/>
      <c r="B41" s="129"/>
      <c r="E41" s="381"/>
      <c r="F41" s="381"/>
      <c r="G41" s="381"/>
      <c r="H41" s="381"/>
      <c r="I41" s="381"/>
      <c r="J41" s="381"/>
      <c r="K41" s="381"/>
      <c r="L41" s="129"/>
      <c r="M41" s="381"/>
      <c r="N41" s="381"/>
      <c r="O41" s="381"/>
      <c r="P41" s="381"/>
      <c r="Q41" s="381"/>
      <c r="R41" s="129"/>
      <c r="S41" s="129"/>
      <c r="T41" s="129"/>
      <c r="U41" s="129"/>
      <c r="V41" s="129"/>
    </row>
    <row r="42" spans="1:22" ht="15.75">
      <c r="A42" s="129"/>
      <c r="B42" s="129"/>
      <c r="E42" s="381"/>
      <c r="F42" s="381"/>
      <c r="G42" s="381"/>
      <c r="H42" s="381"/>
      <c r="I42" s="381"/>
      <c r="J42" s="381"/>
      <c r="K42" s="381"/>
      <c r="L42" s="129"/>
      <c r="M42" s="381"/>
      <c r="N42" s="381"/>
      <c r="O42" s="381"/>
      <c r="P42" s="381"/>
      <c r="Q42" s="381"/>
      <c r="R42" s="129"/>
      <c r="S42" s="129"/>
      <c r="T42" s="129"/>
      <c r="U42" s="129"/>
      <c r="V42" s="129"/>
    </row>
    <row r="43" spans="1:22" ht="15.75">
      <c r="A43" s="129"/>
      <c r="B43" s="129"/>
      <c r="E43" s="381"/>
      <c r="F43" s="381"/>
      <c r="G43" s="381"/>
      <c r="H43" s="381"/>
      <c r="I43" s="381"/>
      <c r="J43" s="381"/>
      <c r="K43" s="381"/>
      <c r="L43" s="129"/>
      <c r="M43" s="381"/>
      <c r="N43" s="381"/>
      <c r="O43" s="381"/>
      <c r="P43" s="381"/>
      <c r="Q43" s="381"/>
      <c r="R43" s="129"/>
      <c r="S43" s="129"/>
      <c r="T43" s="129"/>
      <c r="U43" s="129"/>
      <c r="V43" s="129"/>
    </row>
    <row r="44" spans="1:22" ht="15.75">
      <c r="A44" s="129"/>
      <c r="B44" s="129"/>
      <c r="E44" s="381"/>
      <c r="F44" s="381"/>
      <c r="G44" s="381"/>
      <c r="H44" s="381"/>
      <c r="I44" s="381"/>
      <c r="J44" s="381"/>
      <c r="K44" s="381"/>
      <c r="L44" s="129"/>
      <c r="M44" s="381"/>
      <c r="N44" s="381"/>
      <c r="O44" s="381"/>
      <c r="P44" s="381"/>
      <c r="Q44" s="381"/>
      <c r="R44" s="129"/>
      <c r="S44" s="129"/>
      <c r="T44" s="129"/>
      <c r="U44" s="129"/>
      <c r="V44" s="129"/>
    </row>
    <row r="45" spans="1:22" ht="15.75">
      <c r="A45" s="129"/>
      <c r="B45" s="129"/>
      <c r="E45" s="381"/>
      <c r="F45" s="381"/>
      <c r="G45" s="381"/>
      <c r="H45" s="381"/>
      <c r="I45" s="381"/>
      <c r="J45" s="381"/>
      <c r="K45" s="381"/>
      <c r="L45" s="129"/>
      <c r="M45" s="381"/>
      <c r="N45" s="381"/>
      <c r="O45" s="381"/>
      <c r="P45" s="381"/>
      <c r="Q45" s="381"/>
      <c r="R45" s="129"/>
      <c r="S45" s="129"/>
      <c r="T45" s="129"/>
      <c r="U45" s="129"/>
      <c r="V45" s="129"/>
    </row>
    <row r="46" spans="1:22" ht="15.75">
      <c r="A46" s="129"/>
      <c r="B46" s="129"/>
      <c r="E46" s="381"/>
      <c r="F46" s="381"/>
      <c r="G46" s="381"/>
      <c r="H46" s="381"/>
      <c r="I46" s="381"/>
      <c r="J46" s="381"/>
      <c r="K46" s="381"/>
      <c r="L46" s="129"/>
      <c r="M46" s="381"/>
      <c r="N46" s="381"/>
      <c r="O46" s="381"/>
      <c r="P46" s="381"/>
      <c r="Q46" s="381"/>
      <c r="R46" s="129"/>
      <c r="S46" s="129"/>
      <c r="T46" s="129"/>
      <c r="U46" s="129"/>
      <c r="V46" s="129"/>
    </row>
    <row r="47" spans="1:22" ht="15.75">
      <c r="A47" s="129"/>
      <c r="B47" s="129"/>
      <c r="E47" s="381"/>
      <c r="F47" s="381"/>
      <c r="G47" s="381"/>
      <c r="H47" s="381"/>
      <c r="I47" s="381"/>
      <c r="J47" s="381"/>
      <c r="K47" s="381"/>
      <c r="L47" s="129"/>
      <c r="M47" s="381"/>
      <c r="N47" s="381"/>
      <c r="O47" s="381"/>
      <c r="P47" s="381"/>
      <c r="Q47" s="381"/>
      <c r="R47" s="129"/>
      <c r="S47" s="129"/>
      <c r="T47" s="129"/>
      <c r="U47" s="129"/>
      <c r="V47" s="129"/>
    </row>
    <row r="48" spans="1:22" ht="15.75">
      <c r="A48" s="129"/>
      <c r="B48" s="129"/>
      <c r="E48" s="381"/>
      <c r="F48" s="381"/>
      <c r="G48" s="381"/>
      <c r="H48" s="381"/>
      <c r="I48" s="381"/>
      <c r="J48" s="381"/>
      <c r="K48" s="381"/>
      <c r="L48" s="129"/>
      <c r="M48" s="381"/>
      <c r="N48" s="381"/>
      <c r="O48" s="381"/>
      <c r="P48" s="381"/>
      <c r="Q48" s="381"/>
      <c r="R48" s="129"/>
      <c r="S48" s="129"/>
      <c r="T48" s="129"/>
      <c r="U48" s="129"/>
      <c r="V48" s="129"/>
    </row>
    <row r="49" spans="1:22" ht="15.75">
      <c r="I49" s="381"/>
      <c r="J49" s="381"/>
      <c r="K49" s="381"/>
      <c r="L49" s="129"/>
      <c r="M49" s="381"/>
      <c r="N49" s="381"/>
      <c r="O49" s="381"/>
      <c r="P49" s="381"/>
      <c r="Q49" s="381"/>
      <c r="R49" s="129"/>
      <c r="S49" s="129"/>
      <c r="T49" s="129"/>
      <c r="U49" s="129"/>
      <c r="V49" s="129"/>
    </row>
    <row r="50" spans="1:22" ht="15.75">
      <c r="A50" s="129"/>
      <c r="B50" s="129"/>
      <c r="E50" s="381"/>
      <c r="F50" s="381"/>
      <c r="G50" s="381"/>
      <c r="H50" s="381"/>
      <c r="I50" s="381"/>
      <c r="J50" s="381"/>
      <c r="K50" s="381"/>
      <c r="L50" s="129"/>
      <c r="M50" s="381"/>
      <c r="N50" s="381"/>
      <c r="O50" s="381"/>
      <c r="P50" s="381"/>
      <c r="Q50" s="381"/>
      <c r="R50" s="129"/>
      <c r="S50" s="129"/>
      <c r="T50" s="129"/>
      <c r="U50" s="129"/>
      <c r="V50" s="129"/>
    </row>
    <row r="51" spans="1:22" ht="15.75">
      <c r="A51" s="129"/>
      <c r="B51" s="129"/>
      <c r="E51" s="381"/>
      <c r="F51" s="381"/>
      <c r="G51" s="381"/>
      <c r="H51" s="381"/>
      <c r="I51" s="381"/>
      <c r="J51" s="381"/>
      <c r="K51" s="381"/>
      <c r="L51" s="129"/>
      <c r="M51" s="381"/>
      <c r="N51" s="381"/>
      <c r="O51" s="381"/>
      <c r="P51" s="381"/>
      <c r="Q51" s="381"/>
      <c r="R51" s="129"/>
      <c r="S51" s="129"/>
      <c r="T51" s="129"/>
      <c r="U51" s="129"/>
      <c r="V51" s="129"/>
    </row>
    <row r="52" spans="1:22" ht="15.75">
      <c r="A52" s="129"/>
      <c r="B52" s="129"/>
      <c r="E52" s="381"/>
      <c r="F52" s="381"/>
      <c r="G52" s="381"/>
      <c r="H52" s="381"/>
      <c r="I52" s="381"/>
      <c r="J52" s="381"/>
      <c r="K52" s="381"/>
      <c r="L52" s="129"/>
      <c r="M52" s="381"/>
      <c r="N52" s="381"/>
      <c r="O52" s="381"/>
      <c r="P52" s="381"/>
      <c r="Q52" s="381"/>
      <c r="R52" s="129"/>
      <c r="S52" s="129"/>
      <c r="T52" s="129"/>
      <c r="U52" s="129"/>
      <c r="V52" s="129"/>
    </row>
    <row r="53" spans="1:22" ht="15.75">
      <c r="A53" s="129"/>
      <c r="B53" s="129"/>
      <c r="E53" s="381"/>
      <c r="F53" s="381"/>
      <c r="G53" s="381"/>
      <c r="H53" s="381"/>
      <c r="I53" s="381"/>
      <c r="J53" s="381"/>
      <c r="K53" s="381"/>
      <c r="L53" s="129"/>
      <c r="M53" s="381"/>
      <c r="N53" s="381"/>
      <c r="O53" s="381"/>
      <c r="P53" s="381"/>
      <c r="Q53" s="381"/>
      <c r="R53" s="129"/>
      <c r="S53" s="129"/>
      <c r="T53" s="129"/>
      <c r="U53" s="129"/>
      <c r="V53" s="129"/>
    </row>
    <row r="54" spans="1:22" ht="15.75">
      <c r="A54" s="129"/>
      <c r="B54" s="129"/>
      <c r="E54" s="381"/>
      <c r="F54" s="381"/>
      <c r="G54" s="381"/>
      <c r="H54" s="381"/>
      <c r="I54" s="381"/>
      <c r="J54" s="381"/>
      <c r="K54" s="381"/>
      <c r="L54" s="129"/>
      <c r="M54" s="381"/>
      <c r="N54" s="381"/>
      <c r="O54" s="381"/>
      <c r="P54" s="381"/>
      <c r="Q54" s="381"/>
      <c r="R54" s="129"/>
      <c r="S54" s="129"/>
      <c r="T54" s="129"/>
      <c r="U54" s="129"/>
      <c r="V54" s="129"/>
    </row>
    <row r="55" spans="1:22" ht="15.75">
      <c r="A55" s="129"/>
      <c r="B55" s="129"/>
      <c r="E55" s="381"/>
      <c r="F55" s="381"/>
      <c r="G55" s="381"/>
      <c r="H55" s="381"/>
      <c r="I55" s="381"/>
      <c r="J55" s="381"/>
      <c r="K55" s="381"/>
      <c r="L55" s="129"/>
      <c r="M55" s="381"/>
      <c r="N55" s="381"/>
      <c r="O55" s="381"/>
      <c r="P55" s="381"/>
      <c r="Q55" s="381"/>
      <c r="R55" s="129"/>
      <c r="S55" s="129"/>
      <c r="T55" s="129"/>
      <c r="U55" s="129"/>
      <c r="V55" s="129"/>
    </row>
    <row r="56" spans="1:22" ht="15.75">
      <c r="A56" s="129"/>
      <c r="B56" s="129"/>
      <c r="E56" s="381"/>
      <c r="F56" s="381"/>
      <c r="G56" s="381"/>
      <c r="H56" s="381"/>
      <c r="I56" s="381"/>
      <c r="J56" s="381"/>
      <c r="K56" s="381"/>
      <c r="L56" s="129"/>
      <c r="M56" s="381"/>
      <c r="N56" s="381"/>
      <c r="O56" s="381"/>
      <c r="P56" s="381"/>
      <c r="Q56" s="381"/>
      <c r="R56" s="129"/>
      <c r="S56" s="129"/>
      <c r="T56" s="129"/>
      <c r="U56" s="129"/>
      <c r="V56" s="129"/>
    </row>
    <row r="57" spans="1:22" ht="15.75">
      <c r="A57" s="129"/>
      <c r="B57" s="129"/>
      <c r="E57" s="381"/>
      <c r="F57" s="381"/>
      <c r="G57" s="381"/>
      <c r="H57" s="381"/>
      <c r="I57" s="381"/>
      <c r="J57" s="381"/>
      <c r="K57" s="381"/>
      <c r="L57" s="129"/>
      <c r="M57" s="381"/>
      <c r="N57" s="381"/>
      <c r="O57" s="381"/>
      <c r="P57" s="381"/>
      <c r="Q57" s="381"/>
      <c r="R57" s="129"/>
      <c r="S57" s="129"/>
      <c r="T57" s="129"/>
      <c r="U57" s="129"/>
      <c r="V57" s="129"/>
    </row>
    <row r="58" spans="1:22" ht="15.75">
      <c r="A58" s="129"/>
      <c r="B58" s="129"/>
      <c r="E58" s="381"/>
      <c r="F58" s="381"/>
      <c r="G58" s="381"/>
      <c r="H58" s="381"/>
      <c r="I58" s="381"/>
      <c r="J58" s="381"/>
      <c r="K58" s="381"/>
      <c r="L58" s="129"/>
      <c r="M58" s="381"/>
      <c r="N58" s="381"/>
      <c r="O58" s="381"/>
      <c r="P58" s="381"/>
      <c r="Q58" s="381"/>
      <c r="R58" s="129"/>
      <c r="S58" s="129"/>
      <c r="T58" s="129"/>
      <c r="U58" s="129"/>
      <c r="V58" s="129"/>
    </row>
    <row r="59" spans="1:22" ht="15.75">
      <c r="A59" s="129"/>
      <c r="B59" s="129"/>
      <c r="E59" s="381"/>
      <c r="F59" s="381"/>
      <c r="G59" s="381"/>
      <c r="H59" s="381"/>
      <c r="I59" s="381"/>
      <c r="J59" s="381"/>
      <c r="K59" s="381"/>
      <c r="L59" s="129"/>
      <c r="M59" s="381"/>
      <c r="N59" s="381"/>
      <c r="O59" s="381"/>
      <c r="P59" s="381"/>
      <c r="Q59" s="381"/>
      <c r="R59" s="129"/>
      <c r="S59" s="129"/>
      <c r="T59" s="129"/>
      <c r="U59" s="129"/>
      <c r="V59" s="129"/>
    </row>
    <row r="60" spans="1:22" ht="15.75">
      <c r="A60" s="129"/>
      <c r="B60" s="129"/>
      <c r="E60" s="381"/>
      <c r="F60" s="381"/>
      <c r="G60" s="381"/>
      <c r="H60" s="381"/>
      <c r="I60" s="381"/>
      <c r="J60" s="381"/>
      <c r="K60" s="381"/>
      <c r="L60" s="129"/>
      <c r="M60" s="381"/>
      <c r="N60" s="381"/>
      <c r="O60" s="381"/>
      <c r="P60" s="381"/>
      <c r="Q60" s="381"/>
      <c r="R60" s="129"/>
      <c r="S60" s="129"/>
      <c r="T60" s="129"/>
      <c r="U60" s="129"/>
      <c r="V60" s="129"/>
    </row>
    <row r="61" spans="1:22" ht="15.75">
      <c r="A61" s="129"/>
      <c r="B61" s="129"/>
      <c r="E61" s="381"/>
      <c r="F61" s="381"/>
      <c r="G61" s="381"/>
      <c r="H61" s="381"/>
      <c r="I61" s="381"/>
      <c r="J61" s="381"/>
      <c r="K61" s="381"/>
      <c r="L61" s="129"/>
      <c r="M61" s="381"/>
      <c r="N61" s="381"/>
      <c r="O61" s="381"/>
      <c r="P61" s="381"/>
      <c r="Q61" s="381"/>
      <c r="R61" s="129"/>
      <c r="S61" s="129"/>
      <c r="T61" s="129"/>
      <c r="U61" s="129"/>
      <c r="V61" s="129"/>
    </row>
    <row r="62" spans="1:22" ht="15.75">
      <c r="A62" s="129"/>
      <c r="B62" s="129"/>
      <c r="E62" s="381"/>
      <c r="F62" s="381"/>
      <c r="G62" s="381"/>
      <c r="H62" s="381"/>
      <c r="I62" s="381"/>
      <c r="J62" s="381"/>
      <c r="K62" s="381"/>
      <c r="L62" s="129"/>
      <c r="M62" s="381"/>
      <c r="N62" s="381"/>
      <c r="O62" s="381"/>
      <c r="P62" s="381"/>
      <c r="Q62" s="381"/>
      <c r="R62" s="129"/>
      <c r="S62" s="129"/>
      <c r="T62" s="129"/>
      <c r="U62" s="129"/>
      <c r="V62" s="129"/>
    </row>
    <row r="63" spans="1:22" ht="15.75">
      <c r="A63" s="129"/>
      <c r="B63" s="129"/>
      <c r="E63" s="381"/>
      <c r="F63" s="381"/>
      <c r="G63" s="381"/>
      <c r="H63" s="381"/>
      <c r="I63" s="381"/>
      <c r="J63" s="381"/>
      <c r="K63" s="381"/>
      <c r="L63" s="129"/>
      <c r="M63" s="381"/>
      <c r="N63" s="381"/>
      <c r="O63" s="381"/>
      <c r="P63" s="381"/>
      <c r="Q63" s="381"/>
      <c r="R63" s="129"/>
      <c r="S63" s="129"/>
      <c r="T63" s="129"/>
      <c r="U63" s="129"/>
      <c r="V63" s="129"/>
    </row>
    <row r="64" spans="1:22" ht="15.75">
      <c r="A64" s="129"/>
      <c r="B64" s="129"/>
      <c r="E64" s="381"/>
      <c r="F64" s="381"/>
      <c r="G64" s="381"/>
      <c r="H64" s="381"/>
      <c r="I64" s="381"/>
      <c r="J64" s="381"/>
      <c r="K64" s="381"/>
      <c r="L64" s="129"/>
      <c r="M64" s="381"/>
      <c r="N64" s="381"/>
      <c r="O64" s="381"/>
      <c r="P64" s="381"/>
      <c r="Q64" s="381"/>
      <c r="R64" s="129"/>
      <c r="S64" s="129"/>
      <c r="T64" s="129"/>
      <c r="U64" s="129"/>
      <c r="V64" s="129"/>
    </row>
    <row r="65" spans="1:22" ht="15.75">
      <c r="A65" s="129"/>
      <c r="B65" s="129"/>
      <c r="E65" s="381"/>
      <c r="F65" s="381"/>
      <c r="G65" s="381"/>
      <c r="H65" s="381"/>
      <c r="I65" s="381"/>
      <c r="J65" s="381"/>
      <c r="K65" s="381"/>
      <c r="L65" s="129"/>
      <c r="M65" s="381"/>
      <c r="N65" s="381"/>
      <c r="O65" s="381"/>
      <c r="P65" s="381"/>
      <c r="Q65" s="381"/>
      <c r="R65" s="129"/>
      <c r="S65" s="129"/>
      <c r="T65" s="129"/>
      <c r="U65" s="129"/>
      <c r="V65" s="129"/>
    </row>
    <row r="66" spans="1:22" ht="15.75">
      <c r="A66" s="129"/>
      <c r="B66" s="129"/>
      <c r="E66" s="381"/>
      <c r="F66" s="381"/>
      <c r="G66" s="381"/>
      <c r="H66" s="381"/>
      <c r="I66" s="381"/>
      <c r="J66" s="381"/>
      <c r="K66" s="381"/>
      <c r="L66" s="129"/>
      <c r="M66" s="381"/>
      <c r="N66" s="381"/>
      <c r="O66" s="381"/>
      <c r="P66" s="381"/>
      <c r="Q66" s="381"/>
      <c r="R66" s="129"/>
      <c r="S66" s="129"/>
      <c r="T66" s="129"/>
      <c r="U66" s="129"/>
      <c r="V66" s="129"/>
    </row>
    <row r="67" spans="1:22" ht="15.75">
      <c r="A67" s="129"/>
      <c r="B67" s="129"/>
      <c r="E67" s="381"/>
      <c r="F67" s="381"/>
      <c r="G67" s="381"/>
      <c r="H67" s="381"/>
      <c r="I67" s="381"/>
      <c r="J67" s="381"/>
      <c r="K67" s="381"/>
      <c r="L67" s="129"/>
      <c r="M67" s="381"/>
      <c r="N67" s="381"/>
      <c r="O67" s="381"/>
      <c r="P67" s="381"/>
      <c r="Q67" s="381"/>
      <c r="R67" s="129"/>
      <c r="S67" s="129"/>
      <c r="T67" s="129"/>
      <c r="U67" s="129"/>
      <c r="V67" s="129"/>
    </row>
    <row r="68" spans="1:22" ht="15.75">
      <c r="A68" s="129"/>
      <c r="B68" s="129"/>
      <c r="E68" s="381"/>
      <c r="F68" s="381"/>
      <c r="G68" s="381"/>
      <c r="H68" s="381"/>
      <c r="I68" s="381"/>
      <c r="J68" s="381"/>
      <c r="K68" s="381"/>
      <c r="L68" s="129"/>
      <c r="M68" s="381"/>
      <c r="N68" s="381"/>
      <c r="O68" s="381"/>
      <c r="P68" s="381"/>
      <c r="Q68" s="381"/>
      <c r="R68" s="129"/>
      <c r="S68" s="129"/>
      <c r="T68" s="129"/>
      <c r="U68" s="129"/>
      <c r="V68" s="129"/>
    </row>
    <row r="69" spans="1:22" ht="15.75">
      <c r="A69" s="129"/>
      <c r="B69" s="129"/>
      <c r="E69" s="381"/>
      <c r="F69" s="381"/>
      <c r="G69" s="381"/>
      <c r="H69" s="381"/>
      <c r="I69" s="381"/>
      <c r="J69" s="381"/>
      <c r="K69" s="381"/>
      <c r="L69" s="129"/>
      <c r="M69" s="381"/>
      <c r="N69" s="381"/>
      <c r="O69" s="381"/>
      <c r="P69" s="381"/>
      <c r="Q69" s="381"/>
      <c r="R69" s="129"/>
      <c r="S69" s="129"/>
      <c r="T69" s="129"/>
      <c r="U69" s="129"/>
      <c r="V69" s="129"/>
    </row>
    <row r="70" spans="1:22" ht="15.75">
      <c r="A70" s="129"/>
      <c r="B70" s="129"/>
      <c r="E70" s="381"/>
      <c r="F70" s="381"/>
      <c r="G70" s="381"/>
      <c r="H70" s="381"/>
      <c r="I70" s="381"/>
      <c r="J70" s="381"/>
      <c r="K70" s="381"/>
      <c r="L70" s="129"/>
      <c r="M70" s="381"/>
      <c r="N70" s="381"/>
      <c r="O70" s="381"/>
      <c r="P70" s="381"/>
      <c r="Q70" s="381"/>
      <c r="R70" s="129"/>
      <c r="S70" s="129"/>
      <c r="T70" s="129"/>
      <c r="U70" s="129"/>
      <c r="V70" s="129"/>
    </row>
    <row r="71" spans="1:22" ht="15.75">
      <c r="A71" s="129"/>
      <c r="B71" s="129"/>
      <c r="E71" s="381"/>
      <c r="F71" s="381"/>
      <c r="G71" s="381"/>
      <c r="H71" s="381"/>
      <c r="I71" s="381"/>
      <c r="J71" s="381"/>
      <c r="K71" s="381"/>
      <c r="L71" s="129"/>
      <c r="M71" s="381"/>
      <c r="N71" s="381"/>
      <c r="O71" s="381"/>
      <c r="P71" s="381"/>
      <c r="Q71" s="381"/>
      <c r="R71" s="129"/>
      <c r="S71" s="129"/>
      <c r="T71" s="129"/>
      <c r="U71" s="129"/>
      <c r="V71" s="129"/>
    </row>
    <row r="72" spans="1:22" ht="15.75">
      <c r="A72" s="129"/>
      <c r="B72" s="129"/>
      <c r="E72" s="381"/>
      <c r="F72" s="381"/>
      <c r="G72" s="381"/>
      <c r="H72" s="381"/>
      <c r="I72" s="381"/>
      <c r="J72" s="381"/>
      <c r="K72" s="381"/>
      <c r="L72" s="129"/>
      <c r="M72" s="381"/>
      <c r="N72" s="381"/>
      <c r="O72" s="381"/>
      <c r="P72" s="381"/>
      <c r="Q72" s="381"/>
      <c r="R72" s="129"/>
      <c r="S72" s="129"/>
      <c r="T72" s="129"/>
      <c r="U72" s="129"/>
      <c r="V72" s="129"/>
    </row>
    <row r="73" spans="1:22" ht="15.75">
      <c r="A73" s="129"/>
      <c r="B73" s="129"/>
      <c r="E73" s="381"/>
      <c r="F73" s="381"/>
      <c r="G73" s="381"/>
      <c r="H73" s="381"/>
      <c r="I73" s="381"/>
      <c r="J73" s="381"/>
      <c r="K73" s="381"/>
      <c r="L73" s="129"/>
      <c r="M73" s="381"/>
      <c r="N73" s="381"/>
      <c r="O73" s="381"/>
      <c r="P73" s="381"/>
      <c r="Q73" s="381"/>
      <c r="R73" s="129"/>
      <c r="S73" s="129"/>
      <c r="T73" s="129"/>
      <c r="U73" s="129"/>
      <c r="V73" s="129"/>
    </row>
    <row r="74" spans="1:22" ht="15.75">
      <c r="A74" s="129"/>
      <c r="B74" s="129"/>
      <c r="E74" s="381"/>
      <c r="F74" s="381"/>
      <c r="G74" s="381"/>
      <c r="H74" s="381"/>
      <c r="I74" s="381"/>
      <c r="J74" s="381"/>
      <c r="K74" s="381"/>
      <c r="L74" s="129"/>
      <c r="M74" s="381"/>
      <c r="N74" s="381"/>
      <c r="O74" s="381"/>
      <c r="P74" s="381"/>
      <c r="Q74" s="381"/>
      <c r="R74" s="129"/>
      <c r="S74" s="129"/>
      <c r="T74" s="129"/>
      <c r="U74" s="129"/>
      <c r="V74" s="129"/>
    </row>
    <row r="75" spans="1:22" ht="15.75">
      <c r="A75" s="129"/>
      <c r="B75" s="129"/>
      <c r="E75" s="381"/>
      <c r="F75" s="381"/>
      <c r="G75" s="381"/>
      <c r="H75" s="381"/>
      <c r="I75" s="381"/>
      <c r="J75" s="381"/>
      <c r="K75" s="381"/>
      <c r="L75" s="129"/>
      <c r="M75" s="381"/>
      <c r="N75" s="381"/>
      <c r="O75" s="381"/>
      <c r="P75" s="381"/>
      <c r="Q75" s="381"/>
      <c r="R75" s="129"/>
      <c r="S75" s="129"/>
      <c r="T75" s="129"/>
      <c r="U75" s="129"/>
      <c r="V75" s="129"/>
    </row>
    <row r="76" spans="1:22" ht="15.75">
      <c r="A76" s="129"/>
      <c r="B76" s="129"/>
      <c r="E76" s="381"/>
      <c r="F76" s="381"/>
      <c r="G76" s="381"/>
      <c r="H76" s="381"/>
      <c r="I76" s="381"/>
      <c r="J76" s="381"/>
      <c r="K76" s="381"/>
      <c r="L76" s="129"/>
      <c r="M76" s="381"/>
      <c r="N76" s="381"/>
      <c r="O76" s="381"/>
      <c r="P76" s="381"/>
      <c r="Q76" s="381"/>
      <c r="R76" s="129"/>
      <c r="S76" s="129"/>
      <c r="T76" s="129"/>
      <c r="U76" s="129"/>
      <c r="V76" s="129"/>
    </row>
    <row r="77" spans="1:22" ht="15.75">
      <c r="A77" s="129"/>
      <c r="B77" s="129"/>
      <c r="E77" s="381"/>
      <c r="F77" s="381"/>
      <c r="G77" s="381"/>
      <c r="H77" s="381"/>
      <c r="I77" s="381"/>
      <c r="J77" s="381"/>
      <c r="K77" s="381"/>
      <c r="L77" s="129"/>
      <c r="M77" s="381"/>
      <c r="N77" s="381"/>
      <c r="O77" s="381"/>
      <c r="P77" s="381"/>
      <c r="Q77" s="381"/>
      <c r="R77" s="129"/>
      <c r="S77" s="129"/>
      <c r="T77" s="129"/>
      <c r="U77" s="129"/>
      <c r="V77" s="129"/>
    </row>
    <row r="78" spans="1:22" ht="15.75">
      <c r="A78" s="129"/>
      <c r="B78" s="129"/>
      <c r="E78" s="381"/>
      <c r="F78" s="381"/>
      <c r="G78" s="381"/>
      <c r="H78" s="381"/>
      <c r="I78" s="381"/>
      <c r="J78" s="381"/>
      <c r="K78" s="381"/>
      <c r="L78" s="129"/>
      <c r="M78" s="381"/>
      <c r="N78" s="381"/>
      <c r="O78" s="381"/>
      <c r="P78" s="381"/>
      <c r="Q78" s="381"/>
      <c r="R78" s="129"/>
      <c r="S78" s="129"/>
      <c r="T78" s="129"/>
      <c r="U78" s="129"/>
      <c r="V78" s="129"/>
    </row>
    <row r="79" spans="1:22" ht="15.75">
      <c r="A79" s="129"/>
      <c r="B79" s="129"/>
      <c r="E79" s="381"/>
      <c r="F79" s="381"/>
      <c r="G79" s="381"/>
      <c r="H79" s="381"/>
      <c r="I79" s="381"/>
      <c r="J79" s="381"/>
      <c r="K79" s="381"/>
      <c r="L79" s="129"/>
      <c r="M79" s="381"/>
      <c r="N79" s="381"/>
      <c r="O79" s="381"/>
      <c r="P79" s="381"/>
      <c r="Q79" s="381"/>
      <c r="R79" s="129"/>
      <c r="S79" s="129"/>
      <c r="T79" s="129"/>
      <c r="U79" s="129"/>
      <c r="V79" s="129"/>
    </row>
    <row r="80" spans="1:22" ht="15.75">
      <c r="A80" s="129"/>
      <c r="B80" s="129"/>
      <c r="E80" s="381"/>
      <c r="F80" s="381"/>
      <c r="G80" s="381"/>
      <c r="H80" s="381"/>
      <c r="I80" s="381"/>
      <c r="J80" s="381"/>
      <c r="K80" s="381"/>
      <c r="L80" s="129"/>
      <c r="M80" s="381"/>
      <c r="N80" s="381"/>
      <c r="O80" s="381"/>
      <c r="P80" s="381"/>
      <c r="Q80" s="381"/>
      <c r="R80" s="129"/>
      <c r="S80" s="129"/>
      <c r="T80" s="129"/>
      <c r="U80" s="129"/>
      <c r="V80" s="129"/>
    </row>
    <row r="81" spans="1:22" ht="15.75">
      <c r="A81" s="129"/>
      <c r="B81" s="129"/>
      <c r="E81" s="381"/>
      <c r="F81" s="381"/>
      <c r="G81" s="381"/>
      <c r="H81" s="381"/>
      <c r="I81" s="381"/>
      <c r="J81" s="381"/>
      <c r="K81" s="381"/>
      <c r="L81" s="129"/>
      <c r="M81" s="381"/>
      <c r="N81" s="381"/>
      <c r="O81" s="381"/>
      <c r="P81" s="381"/>
      <c r="Q81" s="381"/>
      <c r="R81" s="129"/>
      <c r="S81" s="129"/>
      <c r="T81" s="129"/>
      <c r="U81" s="129"/>
      <c r="V81" s="129"/>
    </row>
    <row r="82" spans="1:22" ht="15.75">
      <c r="A82" s="129"/>
      <c r="B82" s="129"/>
      <c r="E82" s="381"/>
      <c r="F82" s="381"/>
      <c r="G82" s="381"/>
      <c r="H82" s="381"/>
      <c r="I82" s="381"/>
      <c r="J82" s="381"/>
      <c r="K82" s="381"/>
      <c r="L82" s="129"/>
      <c r="M82" s="381"/>
      <c r="N82" s="381"/>
      <c r="O82" s="381"/>
      <c r="P82" s="381"/>
      <c r="Q82" s="381"/>
      <c r="R82" s="129"/>
      <c r="S82" s="129"/>
      <c r="T82" s="129"/>
      <c r="U82" s="129"/>
      <c r="V82" s="129"/>
    </row>
    <row r="83" spans="1:22" ht="15.75">
      <c r="A83" s="129"/>
      <c r="B83" s="129"/>
      <c r="E83" s="381"/>
      <c r="F83" s="381"/>
      <c r="G83" s="381"/>
      <c r="H83" s="381"/>
      <c r="I83" s="381"/>
      <c r="J83" s="381"/>
      <c r="K83" s="381"/>
      <c r="L83" s="129"/>
      <c r="M83" s="381"/>
      <c r="N83" s="381"/>
      <c r="O83" s="381"/>
      <c r="P83" s="381"/>
      <c r="Q83" s="381"/>
      <c r="R83" s="129"/>
      <c r="S83" s="129"/>
      <c r="T83" s="129"/>
      <c r="U83" s="129"/>
      <c r="V83" s="129"/>
    </row>
    <row r="84" spans="1:22" ht="15.75">
      <c r="A84" s="129"/>
      <c r="B84" s="129"/>
      <c r="E84" s="381"/>
      <c r="F84" s="381"/>
      <c r="G84" s="381"/>
      <c r="H84" s="381"/>
      <c r="I84" s="381"/>
      <c r="J84" s="381"/>
      <c r="K84" s="381"/>
      <c r="L84" s="129"/>
      <c r="M84" s="381"/>
      <c r="N84" s="381"/>
      <c r="O84" s="381"/>
      <c r="P84" s="381"/>
      <c r="Q84" s="381"/>
      <c r="R84" s="129"/>
      <c r="S84" s="129"/>
      <c r="T84" s="129"/>
      <c r="U84" s="129"/>
      <c r="V84" s="129"/>
    </row>
    <row r="85" spans="1:22" ht="15.75">
      <c r="A85" s="129"/>
      <c r="B85" s="129"/>
      <c r="E85" s="381"/>
      <c r="F85" s="381"/>
      <c r="G85" s="381"/>
      <c r="H85" s="381"/>
      <c r="I85" s="381"/>
      <c r="J85" s="381"/>
      <c r="K85" s="381"/>
      <c r="L85" s="129"/>
      <c r="M85" s="381"/>
      <c r="N85" s="381"/>
      <c r="O85" s="381"/>
      <c r="P85" s="381"/>
      <c r="Q85" s="381"/>
      <c r="R85" s="129"/>
      <c r="S85" s="129"/>
      <c r="T85" s="129"/>
      <c r="U85" s="129"/>
      <c r="V85" s="129"/>
    </row>
    <row r="86" spans="1:22" ht="15.75">
      <c r="A86" s="129"/>
      <c r="B86" s="129"/>
      <c r="E86" s="381"/>
      <c r="F86" s="381"/>
      <c r="G86" s="381"/>
      <c r="H86" s="381"/>
      <c r="I86" s="381"/>
      <c r="J86" s="381"/>
      <c r="K86" s="381"/>
      <c r="L86" s="129"/>
      <c r="M86" s="381"/>
      <c r="N86" s="381"/>
      <c r="O86" s="381"/>
      <c r="P86" s="381"/>
      <c r="Q86" s="381"/>
      <c r="R86" s="129"/>
      <c r="S86" s="129"/>
      <c r="T86" s="129"/>
      <c r="U86" s="129"/>
      <c r="V86" s="129"/>
    </row>
    <row r="87" spans="1:22" ht="15.75">
      <c r="A87" s="129"/>
      <c r="B87" s="129"/>
      <c r="E87" s="381"/>
      <c r="F87" s="381"/>
      <c r="G87" s="381"/>
      <c r="H87" s="381"/>
      <c r="I87" s="381"/>
      <c r="J87" s="381"/>
      <c r="K87" s="381"/>
      <c r="L87" s="129"/>
      <c r="M87" s="381"/>
      <c r="N87" s="381"/>
      <c r="O87" s="381"/>
      <c r="P87" s="381"/>
      <c r="Q87" s="381"/>
      <c r="R87" s="129"/>
      <c r="S87" s="129"/>
      <c r="T87" s="129"/>
      <c r="U87" s="129"/>
      <c r="V87" s="129"/>
    </row>
    <row r="88" spans="1:22" ht="15.75">
      <c r="A88" s="129"/>
      <c r="B88" s="129"/>
      <c r="E88" s="381"/>
      <c r="F88" s="381"/>
      <c r="G88" s="381"/>
      <c r="H88" s="381"/>
      <c r="I88" s="381"/>
      <c r="J88" s="381"/>
      <c r="K88" s="381"/>
      <c r="L88" s="129"/>
      <c r="M88" s="381"/>
      <c r="N88" s="381"/>
      <c r="O88" s="381"/>
      <c r="P88" s="381"/>
      <c r="Q88" s="381"/>
      <c r="R88" s="129"/>
      <c r="S88" s="129"/>
      <c r="T88" s="129"/>
      <c r="U88" s="129"/>
      <c r="V88" s="129"/>
    </row>
    <row r="89" spans="1:22" ht="15.75">
      <c r="A89" s="129"/>
      <c r="B89" s="129"/>
      <c r="E89" s="381"/>
      <c r="F89" s="381"/>
      <c r="G89" s="381"/>
      <c r="H89" s="381"/>
      <c r="I89" s="381"/>
      <c r="J89" s="381"/>
      <c r="K89" s="381"/>
      <c r="L89" s="129"/>
      <c r="M89" s="381"/>
      <c r="N89" s="381"/>
      <c r="O89" s="381"/>
      <c r="P89" s="381"/>
      <c r="Q89" s="381"/>
      <c r="R89" s="129"/>
      <c r="S89" s="129"/>
      <c r="T89" s="129"/>
      <c r="U89" s="129"/>
      <c r="V89" s="129"/>
    </row>
    <row r="90" spans="1:22" ht="15.75">
      <c r="A90" s="129"/>
      <c r="B90" s="129"/>
      <c r="E90" s="381"/>
      <c r="F90" s="381"/>
      <c r="G90" s="381"/>
      <c r="H90" s="381"/>
      <c r="I90" s="381"/>
      <c r="J90" s="381"/>
      <c r="K90" s="381"/>
      <c r="L90" s="129"/>
      <c r="M90" s="381"/>
      <c r="N90" s="381"/>
      <c r="O90" s="381"/>
      <c r="P90" s="381"/>
      <c r="Q90" s="381"/>
      <c r="R90" s="129"/>
      <c r="S90" s="129"/>
      <c r="T90" s="129"/>
      <c r="U90" s="129"/>
      <c r="V90" s="129"/>
    </row>
    <row r="91" spans="1:22" ht="15.75">
      <c r="A91" s="129"/>
      <c r="B91" s="129"/>
      <c r="E91" s="381"/>
      <c r="F91" s="381"/>
      <c r="G91" s="381"/>
      <c r="H91" s="381"/>
      <c r="I91" s="381"/>
      <c r="J91" s="381"/>
      <c r="K91" s="381"/>
      <c r="L91" s="129"/>
      <c r="M91" s="381"/>
      <c r="N91" s="381"/>
      <c r="O91" s="381"/>
      <c r="P91" s="381"/>
      <c r="Q91" s="381"/>
      <c r="R91" s="129"/>
      <c r="S91" s="129"/>
      <c r="T91" s="129"/>
      <c r="U91" s="129"/>
      <c r="V91" s="129"/>
    </row>
    <row r="92" spans="1:22" ht="15.75">
      <c r="A92" s="129"/>
      <c r="B92" s="129"/>
      <c r="E92" s="381"/>
      <c r="F92" s="381"/>
      <c r="G92" s="381"/>
      <c r="H92" s="381"/>
      <c r="I92" s="381"/>
      <c r="J92" s="381"/>
      <c r="K92" s="381"/>
      <c r="L92" s="129"/>
      <c r="M92" s="381"/>
      <c r="N92" s="381"/>
      <c r="O92" s="381"/>
      <c r="P92" s="381"/>
      <c r="Q92" s="381"/>
      <c r="R92" s="129"/>
      <c r="S92" s="129"/>
      <c r="T92" s="129"/>
      <c r="U92" s="129"/>
      <c r="V92" s="129"/>
    </row>
    <row r="93" spans="1:22" ht="15.75">
      <c r="A93" s="129"/>
      <c r="B93" s="129"/>
      <c r="E93" s="381"/>
      <c r="F93" s="381"/>
      <c r="G93" s="381"/>
      <c r="H93" s="381"/>
      <c r="I93" s="381"/>
      <c r="J93" s="381"/>
      <c r="K93" s="381"/>
      <c r="L93" s="129"/>
      <c r="M93" s="381"/>
      <c r="N93" s="381"/>
      <c r="O93" s="381"/>
      <c r="P93" s="381"/>
      <c r="Q93" s="381"/>
      <c r="R93" s="129"/>
      <c r="S93" s="129"/>
      <c r="T93" s="129"/>
      <c r="U93" s="129"/>
      <c r="V93" s="129"/>
    </row>
    <row r="94" spans="1:22" ht="15.75">
      <c r="A94" s="129"/>
      <c r="B94" s="129"/>
      <c r="E94" s="381"/>
      <c r="F94" s="381"/>
      <c r="G94" s="381"/>
      <c r="H94" s="381"/>
      <c r="I94" s="381"/>
      <c r="J94" s="381"/>
      <c r="K94" s="381"/>
      <c r="L94" s="129"/>
      <c r="M94" s="381"/>
      <c r="N94" s="381"/>
      <c r="O94" s="381"/>
      <c r="P94" s="381"/>
      <c r="Q94" s="381"/>
      <c r="R94" s="129"/>
      <c r="S94" s="129"/>
      <c r="T94" s="129"/>
      <c r="U94" s="129"/>
      <c r="V94" s="129"/>
    </row>
    <row r="95" spans="1:22" ht="15.75">
      <c r="A95" s="129"/>
      <c r="B95" s="129"/>
      <c r="E95" s="381"/>
      <c r="F95" s="381"/>
      <c r="G95" s="381"/>
      <c r="H95" s="381"/>
      <c r="I95" s="381"/>
      <c r="J95" s="381"/>
      <c r="K95" s="381"/>
      <c r="L95" s="129"/>
      <c r="M95" s="381"/>
      <c r="N95" s="381"/>
      <c r="O95" s="381"/>
      <c r="P95" s="381"/>
      <c r="Q95" s="381"/>
      <c r="R95" s="129"/>
      <c r="S95" s="129"/>
      <c r="T95" s="129"/>
      <c r="U95" s="129"/>
      <c r="V95" s="129"/>
    </row>
    <row r="96" spans="1:22" ht="15.75">
      <c r="A96" s="129"/>
      <c r="B96" s="129"/>
      <c r="E96" s="381"/>
      <c r="F96" s="381"/>
      <c r="G96" s="381"/>
      <c r="H96" s="381"/>
      <c r="I96" s="381"/>
      <c r="J96" s="381"/>
      <c r="K96" s="381"/>
      <c r="L96" s="129"/>
      <c r="M96" s="381"/>
      <c r="N96" s="381"/>
      <c r="O96" s="381"/>
      <c r="P96" s="381"/>
      <c r="Q96" s="381"/>
      <c r="R96" s="129"/>
      <c r="S96" s="129"/>
      <c r="T96" s="129"/>
      <c r="U96" s="129"/>
      <c r="V96" s="129"/>
    </row>
    <row r="97" spans="1:22" ht="15.75">
      <c r="A97" s="129"/>
      <c r="B97" s="129"/>
      <c r="E97" s="381"/>
      <c r="F97" s="381"/>
      <c r="G97" s="381"/>
      <c r="H97" s="381"/>
      <c r="I97" s="381"/>
      <c r="J97" s="381"/>
      <c r="K97" s="381"/>
      <c r="L97" s="129"/>
      <c r="M97" s="381"/>
      <c r="N97" s="381"/>
      <c r="O97" s="381"/>
      <c r="P97" s="381"/>
      <c r="Q97" s="381"/>
      <c r="R97" s="129"/>
      <c r="S97" s="129"/>
      <c r="T97" s="129"/>
      <c r="U97" s="129"/>
      <c r="V97" s="129"/>
    </row>
    <row r="98" spans="1:22" ht="15.75">
      <c r="A98" s="129"/>
      <c r="B98" s="129"/>
      <c r="E98" s="381"/>
      <c r="F98" s="381"/>
      <c r="G98" s="381"/>
      <c r="H98" s="381"/>
      <c r="I98" s="381"/>
      <c r="J98" s="381"/>
      <c r="K98" s="381"/>
      <c r="L98" s="129"/>
      <c r="M98" s="381"/>
      <c r="N98" s="381"/>
      <c r="O98" s="381"/>
      <c r="P98" s="381"/>
      <c r="Q98" s="381"/>
      <c r="R98" s="129"/>
      <c r="S98" s="129"/>
      <c r="T98" s="129"/>
      <c r="U98" s="129"/>
      <c r="V98" s="129"/>
    </row>
    <row r="99" spans="1:22" ht="15.75">
      <c r="A99" s="129"/>
      <c r="B99" s="129"/>
      <c r="E99" s="381"/>
      <c r="F99" s="381"/>
      <c r="G99" s="381"/>
      <c r="H99" s="381"/>
      <c r="I99" s="381"/>
      <c r="J99" s="381"/>
      <c r="K99" s="381"/>
      <c r="L99" s="129"/>
      <c r="M99" s="381"/>
      <c r="N99" s="381"/>
      <c r="O99" s="381"/>
      <c r="P99" s="381"/>
      <c r="Q99" s="381"/>
      <c r="R99" s="129"/>
      <c r="S99" s="129"/>
      <c r="T99" s="129"/>
      <c r="U99" s="129"/>
      <c r="V99" s="129"/>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75"/>
  <sheetViews>
    <sheetView topLeftCell="A34" zoomScale="75" workbookViewId="0">
      <selection activeCell="E14" sqref="E14"/>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12" t="s">
        <v>414</v>
      </c>
    </row>
    <row r="2" spans="1:11" ht="15.75">
      <c r="A2" s="712" t="s">
        <v>414</v>
      </c>
    </row>
    <row r="3" spans="1:11">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7"/>
    </row>
    <row r="4" spans="1:11" ht="12.75" customHeight="1">
      <c r="A4" s="1140" t="str">
        <f>"Cost of Service Formula Rate Using Actual/Projected FF1 Balances"</f>
        <v>Cost of Service Formula Rate Using Actual/Projected FF1 Balances</v>
      </c>
      <c r="B4" s="1140"/>
      <c r="C4" s="1140"/>
      <c r="D4" s="1140"/>
      <c r="E4" s="1140"/>
      <c r="F4" s="1140"/>
      <c r="G4" s="1140"/>
      <c r="H4" s="44"/>
      <c r="I4" s="44"/>
      <c r="J4" s="44"/>
      <c r="K4" s="44"/>
    </row>
    <row r="5" spans="1:11" ht="12.75" customHeight="1">
      <c r="A5" s="1140" t="s">
        <v>286</v>
      </c>
      <c r="B5" s="1140"/>
      <c r="C5" s="1140"/>
      <c r="D5" s="1140"/>
      <c r="E5" s="1140"/>
      <c r="F5" s="1140"/>
      <c r="G5" s="1140"/>
    </row>
    <row r="6" spans="1:11" ht="12.75" customHeight="1">
      <c r="A6" s="1151" t="str">
        <f>TCOS!F9</f>
        <v>AEP Indiana Michigan Transmission Company</v>
      </c>
      <c r="B6" s="1151"/>
      <c r="C6" s="1151"/>
      <c r="D6" s="1151"/>
      <c r="E6" s="1151"/>
      <c r="F6" s="1151"/>
      <c r="G6" s="1151"/>
    </row>
    <row r="7" spans="1:11" ht="12.75" customHeight="1">
      <c r="A7" s="1139"/>
      <c r="B7" s="1139"/>
      <c r="C7" s="1139"/>
      <c r="D7" s="1139"/>
      <c r="E7" s="1139"/>
      <c r="F7" s="1139"/>
      <c r="G7" s="21"/>
    </row>
    <row r="8" spans="1:11" ht="18">
      <c r="A8" s="1176"/>
      <c r="B8" s="1176"/>
      <c r="C8" s="1176"/>
      <c r="D8" s="1176"/>
      <c r="E8" s="1176"/>
      <c r="F8" s="1176"/>
      <c r="G8" s="1176"/>
    </row>
    <row r="9" spans="1:11" ht="18">
      <c r="A9" s="67"/>
      <c r="B9" s="67"/>
      <c r="C9" s="67"/>
      <c r="D9" s="67"/>
      <c r="E9" s="67"/>
      <c r="F9" s="67"/>
      <c r="G9" s="67"/>
    </row>
    <row r="10" spans="1:11" ht="15.75">
      <c r="B10" s="15" t="s">
        <v>460</v>
      </c>
      <c r="C10" s="15" t="s">
        <v>461</v>
      </c>
      <c r="D10" s="15" t="s">
        <v>462</v>
      </c>
      <c r="E10" s="15" t="s">
        <v>463</v>
      </c>
      <c r="F10" s="15" t="s">
        <v>383</v>
      </c>
      <c r="G10" s="15" t="s">
        <v>384</v>
      </c>
    </row>
    <row r="11" spans="1:11" ht="15.75">
      <c r="B11" s="25"/>
      <c r="C11" s="21"/>
      <c r="D11" s="77"/>
      <c r="E11" s="78"/>
      <c r="F11" s="79" t="s">
        <v>386</v>
      </c>
      <c r="G11" s="15"/>
    </row>
    <row r="12" spans="1:11" ht="15.75">
      <c r="A12" s="28" t="s">
        <v>467</v>
      </c>
      <c r="B12" s="25"/>
      <c r="C12" s="34"/>
      <c r="D12" s="28">
        <f>+TCOS!L4</f>
        <v>2026</v>
      </c>
      <c r="E12" s="79" t="s">
        <v>386</v>
      </c>
      <c r="F12" s="28" t="s">
        <v>415</v>
      </c>
      <c r="G12" s="15"/>
    </row>
    <row r="13" spans="1:11" ht="15.75">
      <c r="A13" s="28" t="s">
        <v>405</v>
      </c>
      <c r="B13" s="28" t="s">
        <v>368</v>
      </c>
      <c r="C13" s="28" t="s">
        <v>465</v>
      </c>
      <c r="D13" s="28" t="s">
        <v>369</v>
      </c>
      <c r="E13" s="28" t="s">
        <v>388</v>
      </c>
      <c r="F13" s="28" t="s">
        <v>370</v>
      </c>
      <c r="G13" s="28" t="s">
        <v>371</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292</v>
      </c>
      <c r="D17" s="19"/>
      <c r="E17" s="19"/>
      <c r="F17" s="19"/>
      <c r="G17" s="42"/>
    </row>
    <row r="18" spans="1:7">
      <c r="A18" s="27">
        <v>1</v>
      </c>
      <c r="B18" s="675"/>
      <c r="C18" s="384"/>
      <c r="D18" s="383"/>
      <c r="E18" s="40"/>
      <c r="F18" s="40"/>
      <c r="G18" s="18"/>
    </row>
    <row r="19" spans="1:7">
      <c r="A19" s="27">
        <f>+A18+1</f>
        <v>2</v>
      </c>
      <c r="B19" s="676"/>
      <c r="C19" s="677"/>
      <c r="D19" s="383"/>
      <c r="E19" s="40"/>
      <c r="F19" s="40"/>
      <c r="G19" s="18"/>
    </row>
    <row r="20" spans="1:7" ht="15.75">
      <c r="A20" s="27">
        <f>+A19+1</f>
        <v>3</v>
      </c>
      <c r="B20" s="678"/>
      <c r="C20" s="384"/>
      <c r="D20" s="383"/>
      <c r="E20" s="40"/>
      <c r="F20" s="40"/>
      <c r="G20" s="18"/>
    </row>
    <row r="21" spans="1:7" ht="15.75">
      <c r="A21" s="27">
        <f>+A20+1</f>
        <v>4</v>
      </c>
      <c r="B21" s="28"/>
      <c r="C21" s="91" t="s">
        <v>418</v>
      </c>
      <c r="D21" s="35">
        <f>SUM(D18:D20)</f>
        <v>0</v>
      </c>
      <c r="E21" s="40"/>
      <c r="F21" s="40"/>
      <c r="G21" s="28"/>
    </row>
    <row r="22" spans="1:7" ht="15.75">
      <c r="A22" s="27"/>
      <c r="B22" s="28"/>
      <c r="C22" s="91"/>
      <c r="D22" s="97"/>
      <c r="E22" s="19"/>
      <c r="F22" s="19"/>
      <c r="G22" s="28"/>
    </row>
    <row r="23" spans="1:7" ht="15.75">
      <c r="A23" s="7"/>
      <c r="B23" s="28"/>
      <c r="C23" s="28" t="s">
        <v>199</v>
      </c>
      <c r="D23" s="103"/>
      <c r="E23" s="19"/>
      <c r="F23" s="19"/>
      <c r="G23" s="28"/>
    </row>
    <row r="24" spans="1:7" ht="15.75">
      <c r="A24" s="27">
        <f>+A21+1</f>
        <v>5</v>
      </c>
      <c r="B24" s="7"/>
      <c r="C24" s="107"/>
      <c r="D24" s="896"/>
      <c r="E24" s="19"/>
      <c r="F24" s="19"/>
      <c r="G24" s="28"/>
    </row>
    <row r="25" spans="1:7" ht="15.75">
      <c r="A25" s="108">
        <f>+A24+1</f>
        <v>6</v>
      </c>
      <c r="B25" s="7" t="s">
        <v>185</v>
      </c>
      <c r="C25" s="7" t="s">
        <v>182</v>
      </c>
      <c r="D25" s="383">
        <v>0</v>
      </c>
      <c r="E25" s="19"/>
      <c r="F25" s="19"/>
      <c r="G25" s="28"/>
    </row>
    <row r="26" spans="1:7" ht="15.75">
      <c r="A26" s="27">
        <f>+A25+1</f>
        <v>7</v>
      </c>
      <c r="B26" s="107" t="s">
        <v>186</v>
      </c>
      <c r="C26" s="107" t="s">
        <v>183</v>
      </c>
      <c r="D26" s="383">
        <v>614988.42046861956</v>
      </c>
      <c r="E26" s="19"/>
      <c r="F26" s="19"/>
      <c r="G26" s="28"/>
    </row>
    <row r="27" spans="1:7" ht="15.75">
      <c r="A27" s="108">
        <f t="shared" ref="A27:A32" si="0">+A26+1</f>
        <v>8</v>
      </c>
      <c r="B27" s="7" t="s">
        <v>187</v>
      </c>
      <c r="C27" s="7" t="s">
        <v>184</v>
      </c>
      <c r="D27" s="383">
        <v>3895.6983380467259</v>
      </c>
      <c r="E27" s="19"/>
      <c r="F27" s="19"/>
      <c r="G27" s="28"/>
    </row>
    <row r="28" spans="1:7" ht="15.75">
      <c r="A28" s="27">
        <f t="shared" si="0"/>
        <v>9</v>
      </c>
      <c r="B28" s="107" t="s">
        <v>188</v>
      </c>
      <c r="C28" s="107" t="s">
        <v>192</v>
      </c>
      <c r="D28" s="383">
        <v>0</v>
      </c>
      <c r="E28" s="19"/>
      <c r="F28" s="19"/>
      <c r="G28" s="28"/>
    </row>
    <row r="29" spans="1:7" ht="15.75">
      <c r="A29" s="108">
        <f t="shared" si="0"/>
        <v>10</v>
      </c>
      <c r="B29" s="7" t="s">
        <v>189</v>
      </c>
      <c r="C29" s="7" t="s">
        <v>195</v>
      </c>
      <c r="D29" s="383">
        <v>398903.52841606602</v>
      </c>
      <c r="E29" s="19"/>
      <c r="F29" s="19"/>
      <c r="G29" s="28"/>
    </row>
    <row r="30" spans="1:7" ht="15.75">
      <c r="A30" s="27">
        <f t="shared" si="0"/>
        <v>11</v>
      </c>
      <c r="B30" s="107" t="s">
        <v>190</v>
      </c>
      <c r="C30" s="107" t="s">
        <v>196</v>
      </c>
      <c r="D30" s="383">
        <v>0</v>
      </c>
      <c r="E30" s="19"/>
      <c r="F30" s="19"/>
      <c r="G30" s="28"/>
    </row>
    <row r="31" spans="1:7" ht="15.75">
      <c r="A31" s="108">
        <f t="shared" si="0"/>
        <v>12</v>
      </c>
      <c r="B31" s="7" t="s">
        <v>191</v>
      </c>
      <c r="C31" s="7" t="s">
        <v>197</v>
      </c>
      <c r="D31" s="383">
        <v>0</v>
      </c>
      <c r="E31" s="19"/>
      <c r="F31" s="19"/>
      <c r="G31" s="28"/>
    </row>
    <row r="32" spans="1:7" ht="15.75">
      <c r="A32" s="27">
        <f t="shared" si="0"/>
        <v>13</v>
      </c>
      <c r="B32" s="107" t="s">
        <v>193</v>
      </c>
      <c r="C32" s="107" t="s">
        <v>198</v>
      </c>
      <c r="D32" s="383">
        <v>0</v>
      </c>
      <c r="E32" s="19"/>
      <c r="F32" s="19"/>
      <c r="G32" s="28"/>
    </row>
    <row r="33" spans="1:19" ht="15.75">
      <c r="A33" s="108">
        <f>+A32+1</f>
        <v>14</v>
      </c>
      <c r="B33" s="7"/>
      <c r="C33" s="15" t="s">
        <v>194</v>
      </c>
      <c r="D33" s="35">
        <f>SUM(D24:D32)</f>
        <v>1017787.6472227322</v>
      </c>
      <c r="E33" s="28"/>
      <c r="F33" s="28"/>
      <c r="G33" s="28"/>
    </row>
    <row r="34" spans="1:19" ht="15.75">
      <c r="A34" s="90"/>
      <c r="B34" s="39"/>
      <c r="C34" s="28"/>
      <c r="D34" s="28"/>
      <c r="E34" s="28"/>
      <c r="F34" s="28"/>
      <c r="G34" s="28"/>
    </row>
    <row r="35" spans="1:19" ht="15.75">
      <c r="A35" s="90"/>
      <c r="B35" s="27"/>
      <c r="C35" s="46" t="s">
        <v>502</v>
      </c>
      <c r="D35" s="21"/>
      <c r="E35" s="21"/>
      <c r="F35" s="21"/>
      <c r="G35" s="21"/>
    </row>
    <row r="36" spans="1:19">
      <c r="A36" s="27">
        <f>+A33+1</f>
        <v>15</v>
      </c>
      <c r="B36" s="675" t="s">
        <v>914</v>
      </c>
      <c r="C36" s="384" t="s">
        <v>915</v>
      </c>
      <c r="D36" s="383">
        <v>15.376269872127798</v>
      </c>
      <c r="E36" s="896">
        <v>15.376269872127798</v>
      </c>
      <c r="F36" s="896">
        <v>0</v>
      </c>
      <c r="G36" s="18"/>
    </row>
    <row r="37" spans="1:19">
      <c r="A37" s="27">
        <f>+A36+1</f>
        <v>16</v>
      </c>
      <c r="B37" s="675" t="s">
        <v>916</v>
      </c>
      <c r="C37" s="384" t="s">
        <v>917</v>
      </c>
      <c r="D37" s="383">
        <v>0.24961003637412513</v>
      </c>
      <c r="E37" s="896">
        <v>0.24961003637412513</v>
      </c>
      <c r="F37" s="896">
        <v>0</v>
      </c>
      <c r="G37" s="18"/>
    </row>
    <row r="38" spans="1:19">
      <c r="A38" s="27">
        <f>+A37+1</f>
        <v>17</v>
      </c>
      <c r="B38" s="675" t="s">
        <v>918</v>
      </c>
      <c r="C38" s="384" t="s">
        <v>919</v>
      </c>
      <c r="D38" s="383">
        <v>99.582209014950692</v>
      </c>
      <c r="E38" s="896">
        <v>99.582209014950692</v>
      </c>
      <c r="F38" s="896">
        <v>0</v>
      </c>
      <c r="G38" s="18"/>
    </row>
    <row r="39" spans="1:19">
      <c r="A39" s="27">
        <f>+A38+1</f>
        <v>18</v>
      </c>
      <c r="B39" s="675" t="s">
        <v>920</v>
      </c>
      <c r="C39" s="384" t="s">
        <v>921</v>
      </c>
      <c r="D39" s="383">
        <v>1547.0978521404409</v>
      </c>
      <c r="E39" s="896">
        <v>0</v>
      </c>
      <c r="F39" s="896">
        <v>1547.0978521404409</v>
      </c>
      <c r="G39" s="42"/>
    </row>
    <row r="40" spans="1:19">
      <c r="A40" s="27">
        <f>+A39+1</f>
        <v>19</v>
      </c>
      <c r="B40" s="675"/>
      <c r="C40" s="384"/>
      <c r="D40" s="383"/>
      <c r="E40" s="19"/>
      <c r="F40" s="19"/>
      <c r="G40" s="42"/>
    </row>
    <row r="41" spans="1:19">
      <c r="A41" s="27">
        <f>+A40+1</f>
        <v>20</v>
      </c>
      <c r="B41" s="675"/>
      <c r="C41" s="384"/>
      <c r="D41" s="383"/>
      <c r="E41" s="19"/>
      <c r="F41" s="19"/>
      <c r="G41" s="42"/>
    </row>
    <row r="42" spans="1:19">
      <c r="A42" s="27"/>
      <c r="B42" s="2"/>
      <c r="C42" s="37"/>
      <c r="D42" s="19"/>
      <c r="E42" s="19"/>
      <c r="F42" s="19"/>
      <c r="G42" s="18"/>
    </row>
    <row r="43" spans="1:19" ht="12.75" customHeight="1">
      <c r="A43" s="27"/>
      <c r="B43" s="20" t="s">
        <v>414</v>
      </c>
      <c r="C43" s="37"/>
      <c r="D43" s="22"/>
      <c r="E43" s="23"/>
      <c r="F43" s="24"/>
      <c r="G43" s="21"/>
    </row>
    <row r="44" spans="1:19" ht="15.75" customHeight="1">
      <c r="A44" s="27">
        <f>+A41+1</f>
        <v>21</v>
      </c>
      <c r="B44" s="25"/>
      <c r="C44" s="897" t="s">
        <v>631</v>
      </c>
      <c r="D44" s="35">
        <f>SUM(D36:D42)</f>
        <v>1662.3059410638934</v>
      </c>
      <c r="E44" s="35">
        <f>SUM(E36:E42)</f>
        <v>115.20808892345262</v>
      </c>
      <c r="F44" s="35">
        <f>SUM(F36:F42)</f>
        <v>1547.0978521404409</v>
      </c>
      <c r="G44" s="10"/>
    </row>
    <row r="45" spans="1:19" ht="12.75" customHeight="1">
      <c r="A45" s="27"/>
      <c r="B45" s="25"/>
      <c r="C45" s="26"/>
      <c r="D45" s="38"/>
      <c r="E45" s="12"/>
      <c r="F45" s="12"/>
      <c r="G45" s="21"/>
    </row>
    <row r="46" spans="1:19" ht="15.75">
      <c r="A46" s="27"/>
      <c r="B46" s="27"/>
      <c r="C46" s="46" t="s">
        <v>501</v>
      </c>
      <c r="D46" s="12"/>
      <c r="E46" s="12"/>
      <c r="F46" s="12"/>
      <c r="G46" s="21"/>
    </row>
    <row r="47" spans="1:19">
      <c r="A47" s="27">
        <f>+A44+1</f>
        <v>22</v>
      </c>
      <c r="B47" s="675" t="s">
        <v>922</v>
      </c>
      <c r="C47" s="384" t="s">
        <v>923</v>
      </c>
      <c r="D47" s="385">
        <v>0</v>
      </c>
      <c r="E47" s="385">
        <v>0</v>
      </c>
      <c r="F47" s="385">
        <v>0</v>
      </c>
      <c r="G47"/>
      <c r="M47" s="9"/>
      <c r="N47" s="9"/>
      <c r="O47" s="11"/>
      <c r="P47" s="11"/>
      <c r="Q47" s="11"/>
      <c r="R47" s="11"/>
      <c r="S47" s="11"/>
    </row>
    <row r="48" spans="1:19">
      <c r="A48" s="27">
        <f>+A47+1</f>
        <v>23</v>
      </c>
      <c r="B48" s="675" t="s">
        <v>924</v>
      </c>
      <c r="C48" s="384" t="s">
        <v>925</v>
      </c>
      <c r="D48" s="385">
        <v>0</v>
      </c>
      <c r="E48" s="385">
        <v>0</v>
      </c>
      <c r="F48" s="385">
        <v>0</v>
      </c>
      <c r="G48"/>
      <c r="M48" s="9"/>
      <c r="N48" s="9"/>
      <c r="O48" s="11"/>
      <c r="P48" s="11"/>
      <c r="Q48" s="11"/>
      <c r="R48" s="11"/>
      <c r="S48" s="11"/>
    </row>
    <row r="49" spans="1:19">
      <c r="A49" s="27">
        <f t="shared" ref="A49:A62" si="1">+A48+1</f>
        <v>24</v>
      </c>
      <c r="B49" s="675" t="s">
        <v>926</v>
      </c>
      <c r="C49" s="384" t="s">
        <v>927</v>
      </c>
      <c r="D49" s="385">
        <v>0</v>
      </c>
      <c r="E49" s="385">
        <v>0</v>
      </c>
      <c r="F49" s="385">
        <v>0</v>
      </c>
      <c r="G49"/>
      <c r="M49" s="9"/>
      <c r="N49" s="9"/>
      <c r="O49" s="11"/>
      <c r="P49" s="11"/>
      <c r="Q49" s="11"/>
      <c r="R49" s="11"/>
      <c r="S49" s="11"/>
    </row>
    <row r="50" spans="1:19">
      <c r="A50" s="27">
        <f t="shared" si="1"/>
        <v>25</v>
      </c>
      <c r="B50" s="675" t="s">
        <v>928</v>
      </c>
      <c r="C50" s="384" t="s">
        <v>929</v>
      </c>
      <c r="D50" s="385">
        <v>0</v>
      </c>
      <c r="E50" s="385">
        <v>0</v>
      </c>
      <c r="F50" s="385">
        <v>0</v>
      </c>
      <c r="G50"/>
      <c r="M50" s="9"/>
      <c r="N50" s="9"/>
      <c r="O50" s="11"/>
      <c r="P50" s="11"/>
      <c r="Q50" s="11"/>
      <c r="R50" s="11"/>
      <c r="S50" s="11"/>
    </row>
    <row r="51" spans="1:19">
      <c r="A51" s="27">
        <f t="shared" si="1"/>
        <v>26</v>
      </c>
      <c r="B51" s="675" t="s">
        <v>930</v>
      </c>
      <c r="C51" s="384" t="s">
        <v>931</v>
      </c>
      <c r="D51" s="385">
        <v>0</v>
      </c>
      <c r="E51" s="385">
        <v>0</v>
      </c>
      <c r="F51" s="385">
        <v>0</v>
      </c>
      <c r="G51"/>
      <c r="M51" s="9"/>
      <c r="N51" s="9"/>
      <c r="O51" s="11"/>
      <c r="P51" s="11"/>
      <c r="Q51" s="11"/>
      <c r="R51" s="11"/>
      <c r="S51" s="11"/>
    </row>
    <row r="52" spans="1:19">
      <c r="A52" s="27">
        <f t="shared" si="1"/>
        <v>27</v>
      </c>
      <c r="B52" s="675" t="s">
        <v>932</v>
      </c>
      <c r="C52" s="384" t="s">
        <v>933</v>
      </c>
      <c r="D52" s="385">
        <v>0</v>
      </c>
      <c r="E52" s="385">
        <v>0</v>
      </c>
      <c r="F52" s="385">
        <v>0</v>
      </c>
      <c r="G52"/>
      <c r="M52" s="9"/>
      <c r="N52" s="9"/>
      <c r="O52" s="11"/>
      <c r="P52" s="11"/>
      <c r="Q52" s="11"/>
      <c r="R52" s="11"/>
      <c r="S52" s="11"/>
    </row>
    <row r="53" spans="1:19">
      <c r="A53" s="27">
        <f t="shared" si="1"/>
        <v>28</v>
      </c>
      <c r="B53" s="675"/>
      <c r="C53" s="384"/>
      <c r="D53" s="385"/>
      <c r="E53" s="19">
        <f t="shared" ref="E53:E62" si="2">+D53</f>
        <v>0</v>
      </c>
      <c r="F53" s="19">
        <v>0</v>
      </c>
      <c r="G53"/>
      <c r="M53" s="9"/>
      <c r="N53" s="9"/>
      <c r="O53" s="11"/>
      <c r="P53" s="11"/>
      <c r="Q53" s="11"/>
      <c r="R53" s="11"/>
      <c r="S53" s="11"/>
    </row>
    <row r="54" spans="1:19">
      <c r="A54" s="27">
        <f t="shared" si="1"/>
        <v>29</v>
      </c>
      <c r="B54" s="675"/>
      <c r="C54" s="384"/>
      <c r="D54" s="385"/>
      <c r="E54" s="19">
        <f t="shared" si="2"/>
        <v>0</v>
      </c>
      <c r="F54" s="19">
        <v>0</v>
      </c>
      <c r="G54"/>
      <c r="M54" s="9"/>
      <c r="N54" s="9"/>
      <c r="O54" s="11"/>
      <c r="P54" s="11"/>
      <c r="Q54" s="11"/>
      <c r="R54" s="11"/>
      <c r="S54" s="11"/>
    </row>
    <row r="55" spans="1:19">
      <c r="A55" s="27">
        <f t="shared" si="1"/>
        <v>30</v>
      </c>
      <c r="B55" s="675"/>
      <c r="C55" s="384"/>
      <c r="D55" s="385"/>
      <c r="E55" s="19">
        <f t="shared" si="2"/>
        <v>0</v>
      </c>
      <c r="F55" s="19">
        <v>0</v>
      </c>
      <c r="G55"/>
      <c r="M55" s="9"/>
      <c r="N55" s="9"/>
      <c r="O55" s="11"/>
      <c r="P55" s="11"/>
      <c r="Q55" s="11"/>
      <c r="R55" s="11"/>
      <c r="S55" s="11"/>
    </row>
    <row r="56" spans="1:19">
      <c r="A56" s="27">
        <f t="shared" si="1"/>
        <v>31</v>
      </c>
      <c r="B56" s="675"/>
      <c r="C56" s="384"/>
      <c r="D56" s="385"/>
      <c r="E56" s="19">
        <f t="shared" si="2"/>
        <v>0</v>
      </c>
      <c r="F56" s="19">
        <v>0</v>
      </c>
      <c r="G56"/>
      <c r="M56" s="9"/>
      <c r="N56" s="9"/>
      <c r="O56" s="11"/>
      <c r="P56" s="11"/>
      <c r="Q56" s="11"/>
      <c r="R56" s="11"/>
      <c r="S56" s="11"/>
    </row>
    <row r="57" spans="1:19">
      <c r="A57" s="27">
        <f t="shared" si="1"/>
        <v>32</v>
      </c>
      <c r="B57" s="675"/>
      <c r="C57" s="384"/>
      <c r="D57" s="385"/>
      <c r="E57" s="19">
        <f t="shared" si="2"/>
        <v>0</v>
      </c>
      <c r="F57" s="22">
        <v>0</v>
      </c>
      <c r="G57"/>
      <c r="M57" s="9"/>
      <c r="N57" s="9"/>
      <c r="O57" s="11"/>
      <c r="P57" s="11"/>
      <c r="Q57" s="11"/>
      <c r="R57" s="11"/>
      <c r="S57" s="11"/>
    </row>
    <row r="58" spans="1:19">
      <c r="A58" s="27">
        <f t="shared" si="1"/>
        <v>33</v>
      </c>
      <c r="B58" s="675"/>
      <c r="C58" s="384"/>
      <c r="D58" s="385"/>
      <c r="E58" s="19">
        <f t="shared" si="2"/>
        <v>0</v>
      </c>
      <c r="F58" s="22">
        <v>0</v>
      </c>
      <c r="G58"/>
    </row>
    <row r="59" spans="1:19">
      <c r="A59" s="27">
        <f t="shared" si="1"/>
        <v>34</v>
      </c>
      <c r="B59" s="675"/>
      <c r="C59" s="384"/>
      <c r="D59" s="385"/>
      <c r="E59" s="19">
        <f t="shared" si="2"/>
        <v>0</v>
      </c>
      <c r="F59" s="22">
        <v>0</v>
      </c>
      <c r="G59" s="21"/>
    </row>
    <row r="60" spans="1:19">
      <c r="A60" s="27">
        <f t="shared" si="1"/>
        <v>35</v>
      </c>
      <c r="B60" s="675"/>
      <c r="C60" s="384"/>
      <c r="D60" s="385"/>
      <c r="E60" s="19">
        <f t="shared" si="2"/>
        <v>0</v>
      </c>
      <c r="F60" s="22">
        <v>0</v>
      </c>
      <c r="G60" s="21"/>
    </row>
    <row r="61" spans="1:19">
      <c r="A61" s="27">
        <f t="shared" si="1"/>
        <v>36</v>
      </c>
      <c r="B61" s="675"/>
      <c r="C61" s="384"/>
      <c r="D61" s="385"/>
      <c r="E61" s="19">
        <f t="shared" si="2"/>
        <v>0</v>
      </c>
      <c r="F61" s="22">
        <v>0</v>
      </c>
      <c r="G61" s="21"/>
    </row>
    <row r="62" spans="1:19">
      <c r="A62" s="27">
        <f t="shared" si="1"/>
        <v>37</v>
      </c>
      <c r="B62" s="675"/>
      <c r="C62" s="384"/>
      <c r="D62" s="385"/>
      <c r="E62" s="19">
        <f t="shared" si="2"/>
        <v>0</v>
      </c>
      <c r="F62" s="22">
        <v>0</v>
      </c>
      <c r="G62" s="21"/>
    </row>
    <row r="63" spans="1:19">
      <c r="A63" s="27"/>
      <c r="B63" s="20"/>
      <c r="C63" s="21"/>
      <c r="D63" s="29"/>
      <c r="E63" s="30"/>
      <c r="F63" s="29"/>
      <c r="G63" s="21"/>
    </row>
    <row r="64" spans="1:19" ht="15.75">
      <c r="A64" s="27">
        <f>+A62+1</f>
        <v>38</v>
      </c>
      <c r="B64" s="25"/>
      <c r="C64" s="897" t="s">
        <v>632</v>
      </c>
      <c r="D64" s="31">
        <f>SUM(D47:D63)</f>
        <v>0</v>
      </c>
      <c r="E64" s="31">
        <f>SUM(E47:E63)</f>
        <v>0</v>
      </c>
      <c r="F64" s="31">
        <f>SUM(F47:F63)</f>
        <v>0</v>
      </c>
      <c r="G64" s="10"/>
    </row>
    <row r="65" spans="1:11" ht="12.75" customHeight="1">
      <c r="A65" s="27"/>
      <c r="B65" s="16"/>
      <c r="C65" s="16"/>
      <c r="D65" s="16"/>
      <c r="E65" s="16"/>
      <c r="F65" s="16"/>
      <c r="G65" s="16"/>
    </row>
    <row r="66" spans="1:11" ht="15.75">
      <c r="A66" s="27"/>
      <c r="B66" s="15"/>
      <c r="C66" s="46" t="s">
        <v>500</v>
      </c>
      <c r="D66" s="32"/>
      <c r="E66" s="32"/>
      <c r="F66" s="32"/>
      <c r="G66" s="15"/>
    </row>
    <row r="67" spans="1:11">
      <c r="A67" s="27">
        <f>+A64+1</f>
        <v>39</v>
      </c>
      <c r="B67" s="933">
        <v>9302000</v>
      </c>
      <c r="C67" s="384" t="s">
        <v>802</v>
      </c>
      <c r="D67" s="385">
        <v>82428.621770686921</v>
      </c>
      <c r="E67" s="19">
        <f>D67</f>
        <v>82428.621770686921</v>
      </c>
      <c r="F67" s="22">
        <v>0</v>
      </c>
      <c r="G67" s="9"/>
      <c r="H67" s="9"/>
      <c r="J67" s="11"/>
      <c r="K67" s="11"/>
    </row>
    <row r="68" spans="1:11">
      <c r="A68" s="27">
        <f>+A67+1</f>
        <v>40</v>
      </c>
      <c r="B68" s="933">
        <v>9302003</v>
      </c>
      <c r="C68" s="384" t="s">
        <v>803</v>
      </c>
      <c r="D68" s="385">
        <v>44182.709170111826</v>
      </c>
      <c r="E68" s="19">
        <f>D68</f>
        <v>44182.709170111826</v>
      </c>
      <c r="F68" s="22">
        <v>0</v>
      </c>
      <c r="G68" s="9"/>
      <c r="H68" s="9"/>
      <c r="J68" s="11"/>
      <c r="K68" s="11"/>
    </row>
    <row r="69" spans="1:11">
      <c r="A69" s="27">
        <f>+A68+1</f>
        <v>41</v>
      </c>
      <c r="B69" s="933">
        <v>9302004</v>
      </c>
      <c r="C69" s="384" t="s">
        <v>804</v>
      </c>
      <c r="D69" s="385">
        <v>497.25181175793745</v>
      </c>
      <c r="E69" s="19">
        <f>D69</f>
        <v>497.25181175793745</v>
      </c>
      <c r="F69" s="22">
        <v>0</v>
      </c>
      <c r="G69" s="9"/>
      <c r="H69" s="9"/>
      <c r="J69" s="11"/>
      <c r="K69" s="11"/>
    </row>
    <row r="70" spans="1:11">
      <c r="A70" s="27">
        <f>+A69+1</f>
        <v>42</v>
      </c>
      <c r="B70" s="933">
        <v>9302007</v>
      </c>
      <c r="C70" s="384" t="s">
        <v>805</v>
      </c>
      <c r="D70" s="385">
        <v>11397.79057002345</v>
      </c>
      <c r="E70" s="19">
        <v>0</v>
      </c>
      <c r="F70" s="22">
        <f>D70</f>
        <v>11397.79057002345</v>
      </c>
      <c r="G70" s="16"/>
    </row>
    <row r="71" spans="1:11">
      <c r="A71" s="27"/>
      <c r="B71" s="16"/>
      <c r="C71" s="16"/>
      <c r="D71" s="16"/>
      <c r="E71" s="16"/>
      <c r="F71" s="16"/>
      <c r="G71" s="16"/>
    </row>
    <row r="72" spans="1:11" ht="15.75">
      <c r="A72" s="27">
        <f>+A70+1</f>
        <v>43</v>
      </c>
      <c r="B72" s="16"/>
      <c r="C72" s="897" t="s">
        <v>633</v>
      </c>
      <c r="D72" s="31">
        <f>SUM(D67:D71)</f>
        <v>138506.37332258013</v>
      </c>
      <c r="E72" s="31">
        <f>SUM(E67:E71)</f>
        <v>127108.58275255667</v>
      </c>
      <c r="F72" s="31">
        <f>SUM(F67:F71)</f>
        <v>11397.79057002345</v>
      </c>
      <c r="G72" s="10"/>
    </row>
    <row r="73" spans="1:11">
      <c r="A73" s="27"/>
      <c r="B73" s="41"/>
      <c r="C73"/>
      <c r="D73"/>
      <c r="E73"/>
      <c r="F73"/>
      <c r="G73"/>
    </row>
    <row r="74" spans="1:11" ht="12.75">
      <c r="A74" s="41"/>
      <c r="B74"/>
      <c r="C74"/>
      <c r="D74"/>
      <c r="E74"/>
      <c r="F74"/>
    </row>
    <row r="75" spans="1:11" ht="12.75">
      <c r="A75" s="41"/>
      <c r="B75"/>
      <c r="C75"/>
      <c r="D75"/>
      <c r="E75"/>
      <c r="F75"/>
    </row>
  </sheetData>
  <mergeCells count="6">
    <mergeCell ref="A3:G3"/>
    <mergeCell ref="A8:G8"/>
    <mergeCell ref="A7:F7"/>
    <mergeCell ref="A4:G4"/>
    <mergeCell ref="A5:G5"/>
    <mergeCell ref="A6:G6"/>
  </mergeCells>
  <phoneticPr fontId="0" type="noConversion"/>
  <pageMargins left="1.27" right="1.28" top="0.8" bottom="0.67" header="0.75" footer="0.4"/>
  <pageSetup scale="48"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41"/>
  <sheetViews>
    <sheetView topLeftCell="A3" zoomScaleNormal="100" workbookViewId="0">
      <selection activeCell="E14" sqref="E14"/>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12" t="s">
        <v>414</v>
      </c>
    </row>
    <row r="2" spans="1:15" ht="15.75">
      <c r="A2" s="712" t="s">
        <v>414</v>
      </c>
    </row>
    <row r="3" spans="1:15"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row>
    <row r="4" spans="1:15" ht="15">
      <c r="A4" s="1140" t="str">
        <f>"Cost of Service Formula Rate Using Actual/Projected FF1 Balances"</f>
        <v>Cost of Service Formula Rate Using Actual/Projected FF1 Balances</v>
      </c>
      <c r="B4" s="1140"/>
      <c r="C4" s="1140"/>
      <c r="D4" s="1140"/>
      <c r="E4" s="1140"/>
      <c r="F4" s="1140"/>
      <c r="G4" s="1140"/>
      <c r="H4" s="1140"/>
    </row>
    <row r="5" spans="1:15" ht="15">
      <c r="A5" s="1140" t="s">
        <v>336</v>
      </c>
      <c r="B5" s="1140"/>
      <c r="C5" s="1140"/>
      <c r="D5" s="1140"/>
      <c r="E5" s="1140"/>
      <c r="F5" s="1140"/>
      <c r="G5" s="1140"/>
      <c r="H5" s="1140"/>
    </row>
    <row r="6" spans="1:15" ht="15">
      <c r="A6" s="1151" t="str">
        <f>TCOS!F9</f>
        <v>AEP Indiana Michigan Transmission Company</v>
      </c>
      <c r="B6" s="1151"/>
      <c r="C6" s="1151"/>
      <c r="D6" s="1151"/>
      <c r="E6" s="1151"/>
      <c r="F6" s="1151"/>
      <c r="G6" s="1151"/>
    </row>
    <row r="7" spans="1:15" ht="12.75" customHeight="1">
      <c r="A7" s="6"/>
      <c r="B7" s="386"/>
      <c r="C7" s="386"/>
      <c r="D7" s="386"/>
      <c r="E7" s="386"/>
      <c r="F7" s="386"/>
      <c r="G7" s="386"/>
      <c r="H7" s="386"/>
      <c r="I7" s="386"/>
      <c r="J7" s="386"/>
      <c r="O7" s="387"/>
    </row>
    <row r="8" spans="1:15" ht="12.75" customHeight="1">
      <c r="A8" s="6"/>
      <c r="B8" s="17"/>
      <c r="C8" s="129"/>
      <c r="D8" s="129"/>
      <c r="E8" s="129"/>
      <c r="F8" s="129"/>
    </row>
    <row r="9" spans="1:15" ht="15">
      <c r="A9" s="388">
        <v>1</v>
      </c>
      <c r="B9" s="397" t="s">
        <v>823</v>
      </c>
      <c r="C9" s="389"/>
      <c r="D9" s="390"/>
      <c r="E9" s="395">
        <v>4.9000000000000002E-2</v>
      </c>
      <c r="F9" s="129"/>
      <c r="G9" s="391"/>
      <c r="H9" s="391"/>
      <c r="L9" s="1"/>
    </row>
    <row r="10" spans="1:15" ht="15">
      <c r="A10" s="1"/>
      <c r="B10" s="129" t="s">
        <v>619</v>
      </c>
      <c r="C10" s="389"/>
      <c r="D10" s="389"/>
      <c r="E10" s="396">
        <v>0.89390000000000003</v>
      </c>
      <c r="F10" s="129"/>
      <c r="G10" s="391"/>
      <c r="H10" s="391"/>
      <c r="L10" s="1"/>
    </row>
    <row r="11" spans="1:15" ht="15">
      <c r="A11" s="1"/>
      <c r="B11" s="129" t="s">
        <v>236</v>
      </c>
      <c r="C11" s="389"/>
      <c r="D11" s="389"/>
      <c r="E11" s="129"/>
      <c r="F11" s="392">
        <f>ROUND(E9*E10,6)</f>
        <v>4.3801E-2</v>
      </c>
      <c r="G11" s="391"/>
      <c r="L11" s="1"/>
    </row>
    <row r="12" spans="1:15" ht="15">
      <c r="A12" s="1"/>
      <c r="B12" s="129"/>
      <c r="C12" s="389"/>
      <c r="D12" s="389"/>
      <c r="E12" s="129"/>
      <c r="F12" s="392"/>
      <c r="G12" s="391"/>
      <c r="L12" s="1"/>
    </row>
    <row r="13" spans="1:15" ht="15">
      <c r="A13" s="1">
        <f>A9+1</f>
        <v>2</v>
      </c>
      <c r="B13" s="397" t="s">
        <v>824</v>
      </c>
      <c r="C13" s="389"/>
      <c r="D13" s="390"/>
      <c r="E13" s="395">
        <v>0.06</v>
      </c>
      <c r="F13" s="129"/>
      <c r="G13" s="391"/>
      <c r="L13" s="1"/>
    </row>
    <row r="14" spans="1:15" ht="15">
      <c r="A14" s="1"/>
      <c r="B14" s="129" t="s">
        <v>619</v>
      </c>
      <c r="C14" s="389"/>
      <c r="D14" s="389"/>
      <c r="E14" s="396">
        <v>0.1002</v>
      </c>
      <c r="F14" s="129"/>
      <c r="G14" s="391"/>
      <c r="L14" s="1"/>
    </row>
    <row r="15" spans="1:15" ht="15">
      <c r="A15" s="1"/>
      <c r="B15" s="129" t="s">
        <v>236</v>
      </c>
      <c r="C15" s="389"/>
      <c r="D15" s="389"/>
      <c r="E15" s="129"/>
      <c r="F15" s="392">
        <f>ROUND(E13*E14,6)</f>
        <v>6.012E-3</v>
      </c>
      <c r="G15" s="391"/>
      <c r="L15" s="1"/>
    </row>
    <row r="16" spans="1:15" ht="15">
      <c r="A16" s="1"/>
      <c r="B16" s="129"/>
      <c r="C16" s="389"/>
      <c r="D16" s="389"/>
      <c r="E16" s="129"/>
      <c r="F16" s="392"/>
      <c r="G16" s="391"/>
      <c r="L16" s="1"/>
    </row>
    <row r="17" spans="1:12" ht="15">
      <c r="A17" s="1">
        <f>A13+1</f>
        <v>3</v>
      </c>
      <c r="B17" s="397" t="s">
        <v>113</v>
      </c>
      <c r="C17" s="389"/>
      <c r="D17" s="390"/>
      <c r="E17" s="395"/>
      <c r="F17" s="129"/>
      <c r="G17" s="391"/>
      <c r="L17" s="1"/>
    </row>
    <row r="18" spans="1:12" ht="15">
      <c r="A18" s="1"/>
      <c r="B18" s="129" t="s">
        <v>619</v>
      </c>
      <c r="C18" s="389"/>
      <c r="D18" s="389"/>
      <c r="E18" s="396"/>
      <c r="F18" s="129"/>
      <c r="G18" s="391"/>
      <c r="L18" s="1"/>
    </row>
    <row r="19" spans="1:12" ht="15">
      <c r="A19" s="1"/>
      <c r="B19" s="129" t="s">
        <v>236</v>
      </c>
      <c r="C19" s="389"/>
      <c r="D19" s="389"/>
      <c r="E19" s="129"/>
      <c r="F19" s="392">
        <f>ROUND(E17*E18,4)</f>
        <v>0</v>
      </c>
      <c r="G19" s="391"/>
      <c r="L19" s="1"/>
    </row>
    <row r="20" spans="1:12" ht="15">
      <c r="A20" s="1"/>
      <c r="B20" s="129"/>
      <c r="C20" s="389"/>
      <c r="D20" s="389"/>
      <c r="E20" s="129"/>
      <c r="F20" s="392"/>
      <c r="G20" s="391"/>
      <c r="L20" s="1"/>
    </row>
    <row r="21" spans="1:12" ht="15">
      <c r="A21" s="1">
        <f>A17+1</f>
        <v>4</v>
      </c>
      <c r="B21" s="397" t="s">
        <v>113</v>
      </c>
      <c r="C21" s="389"/>
      <c r="D21" s="390"/>
      <c r="E21" s="395"/>
      <c r="F21" s="129"/>
      <c r="G21" s="391"/>
      <c r="L21" s="1"/>
    </row>
    <row r="22" spans="1:12" ht="15">
      <c r="A22" s="1"/>
      <c r="B22" s="129" t="s">
        <v>619</v>
      </c>
      <c r="C22" s="389"/>
      <c r="D22" s="389"/>
      <c r="E22" s="396"/>
      <c r="F22" s="129"/>
      <c r="G22" s="391"/>
      <c r="L22" s="1"/>
    </row>
    <row r="23" spans="1:12" ht="15">
      <c r="A23" s="1"/>
      <c r="B23" s="129" t="s">
        <v>236</v>
      </c>
      <c r="C23" s="389"/>
      <c r="D23" s="389"/>
      <c r="E23" s="129"/>
      <c r="F23" s="392">
        <f>ROUND(E21*E22,4)</f>
        <v>0</v>
      </c>
      <c r="G23" s="391"/>
      <c r="L23" s="1"/>
    </row>
    <row r="24" spans="1:12" ht="15">
      <c r="A24" s="1"/>
      <c r="B24" s="129"/>
      <c r="C24" s="389"/>
      <c r="D24" s="389"/>
      <c r="E24" s="129"/>
      <c r="F24" s="392"/>
      <c r="G24" s="391"/>
      <c r="L24" s="1"/>
    </row>
    <row r="25" spans="1:12" ht="15">
      <c r="A25" s="1">
        <f>A21+1</f>
        <v>5</v>
      </c>
      <c r="B25" s="397" t="s">
        <v>113</v>
      </c>
      <c r="C25" s="389"/>
      <c r="D25" s="390"/>
      <c r="E25" s="395"/>
      <c r="F25" s="393"/>
      <c r="G25" s="391"/>
      <c r="L25" s="1"/>
    </row>
    <row r="26" spans="1:12" ht="15">
      <c r="A26" s="1"/>
      <c r="B26" s="129" t="s">
        <v>619</v>
      </c>
      <c r="C26" s="389"/>
      <c r="D26" s="389"/>
      <c r="E26" s="396"/>
      <c r="F26" s="393"/>
      <c r="G26" s="391"/>
      <c r="L26" s="1"/>
    </row>
    <row r="27" spans="1:12" ht="15">
      <c r="A27" s="1"/>
      <c r="B27" s="129" t="s">
        <v>236</v>
      </c>
      <c r="C27" s="389"/>
      <c r="D27" s="389"/>
      <c r="E27" s="129"/>
      <c r="F27" s="392">
        <f>ROUND(E25*E26,4)</f>
        <v>0</v>
      </c>
      <c r="G27" s="391"/>
      <c r="L27" s="1"/>
    </row>
    <row r="28" spans="1:12" ht="15">
      <c r="A28" s="1"/>
      <c r="B28" s="129"/>
      <c r="C28" s="389"/>
      <c r="D28" s="389"/>
      <c r="E28" s="389"/>
      <c r="F28" s="393"/>
      <c r="G28" s="391"/>
      <c r="L28" s="1"/>
    </row>
    <row r="29" spans="1:12" ht="15.75" thickBot="1">
      <c r="A29" s="1"/>
      <c r="B29" s="129" t="s">
        <v>493</v>
      </c>
      <c r="C29" s="129"/>
      <c r="D29" s="129"/>
      <c r="E29" s="129"/>
      <c r="F29" s="394">
        <f>ROUND(SUM(F11:F28),6)</f>
        <v>4.9813000000000003E-2</v>
      </c>
      <c r="G29" s="391"/>
      <c r="L29" s="1"/>
    </row>
    <row r="30" spans="1:12" ht="13.5" thickTop="1">
      <c r="A30" s="1"/>
      <c r="L30" s="1"/>
    </row>
    <row r="31" spans="1:12">
      <c r="A31" s="1"/>
      <c r="L31" s="1"/>
    </row>
    <row r="32" spans="1:12">
      <c r="A32" s="1"/>
      <c r="L32" s="1"/>
    </row>
    <row r="33" spans="1:12" ht="12.75" customHeight="1">
      <c r="A33" s="1"/>
      <c r="C33" s="129"/>
      <c r="D33" s="129"/>
      <c r="E33" s="129"/>
      <c r="F33" s="129"/>
      <c r="L33" s="1"/>
    </row>
    <row r="34" spans="1:12">
      <c r="A34" s="3" t="s">
        <v>295</v>
      </c>
      <c r="B34" s="3" t="s">
        <v>200</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16"/>
  <sheetViews>
    <sheetView view="pageBreakPreview" topLeftCell="A15" zoomScale="60" zoomScaleNormal="80" zoomScalePageLayoutView="50" workbookViewId="0">
      <selection activeCell="E14" sqref="E14"/>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398" customWidth="1"/>
    <col min="16" max="16384" width="9.140625" style="50"/>
  </cols>
  <sheetData>
    <row r="1" spans="1:29" ht="15.75">
      <c r="A1" s="712" t="s">
        <v>414</v>
      </c>
    </row>
    <row r="2" spans="1:29" ht="15.75">
      <c r="A2" s="712" t="s">
        <v>414</v>
      </c>
    </row>
    <row r="3" spans="1:29" ht="18.75" customHeight="1">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139" t="str">
        <f>TCOS!$F$5</f>
        <v>AEPTCo subsidiaries in PJM</v>
      </c>
      <c r="K3" s="1139" t="str">
        <f>TCOS!$F$5</f>
        <v>AEPTCo subsidiaries in PJM</v>
      </c>
      <c r="L3" s="1139" t="str">
        <f>TCOS!$F$5</f>
        <v>AEPTCo subsidiaries in PJM</v>
      </c>
      <c r="M3" s="1139" t="str">
        <f>TCOS!$F$5</f>
        <v>AEPTCo subsidiaries in PJM</v>
      </c>
    </row>
    <row r="4" spans="1:29" ht="18.75" customHeight="1">
      <c r="A4" s="1140" t="str">
        <f>"Cost of Service Formula Rate Using Actual/Projected FF1 Balances"</f>
        <v>Cost of Service Formula Rate Using Actual/Projected FF1 Balances</v>
      </c>
      <c r="B4" s="1140"/>
      <c r="C4" s="1140"/>
      <c r="D4" s="1140"/>
      <c r="E4" s="1140"/>
      <c r="F4" s="1140"/>
      <c r="G4" s="1140"/>
      <c r="H4" s="1140"/>
      <c r="I4" s="1140"/>
      <c r="J4" s="1140"/>
      <c r="K4" s="1140"/>
      <c r="L4" s="1140"/>
      <c r="M4" s="1140"/>
    </row>
    <row r="5" spans="1:29" ht="18.75" customHeight="1">
      <c r="A5" s="1140" t="s">
        <v>255</v>
      </c>
      <c r="B5" s="1140"/>
      <c r="C5" s="1140"/>
      <c r="D5" s="1140"/>
      <c r="E5" s="1140"/>
      <c r="F5" s="1140"/>
      <c r="G5" s="1140"/>
      <c r="H5" s="1140"/>
      <c r="I5" s="1140"/>
      <c r="J5" s="1140"/>
      <c r="K5" s="1140"/>
      <c r="L5" s="1140"/>
      <c r="M5" s="1140"/>
    </row>
    <row r="6" spans="1:29" ht="18.75" customHeight="1">
      <c r="A6" s="1141" t="str">
        <f>TCOS!F9</f>
        <v>AEP Indiana Michigan Transmission Company</v>
      </c>
      <c r="B6" s="1141"/>
      <c r="C6" s="1141"/>
      <c r="D6" s="1141"/>
      <c r="E6" s="1141"/>
      <c r="F6" s="1141"/>
      <c r="G6" s="1141"/>
      <c r="H6" s="1141"/>
      <c r="I6" s="1141"/>
      <c r="J6" s="1141"/>
      <c r="K6" s="1141"/>
      <c r="L6" s="1141"/>
      <c r="M6" s="1141"/>
    </row>
    <row r="7" spans="1:29" ht="18" customHeight="1">
      <c r="A7" s="1151"/>
      <c r="B7" s="1151"/>
      <c r="C7" s="1151"/>
      <c r="D7" s="1151"/>
      <c r="E7" s="1151"/>
      <c r="F7" s="1151"/>
      <c r="G7" s="1151"/>
      <c r="H7" s="1151"/>
      <c r="I7" s="1151"/>
      <c r="J7" s="1151"/>
      <c r="K7" s="1151"/>
      <c r="L7" s="1151"/>
      <c r="M7" s="1151"/>
    </row>
    <row r="8" spans="1:29" ht="18" customHeight="1">
      <c r="A8" s="1176"/>
      <c r="B8" s="1176"/>
      <c r="C8" s="1176"/>
      <c r="D8" s="1176"/>
      <c r="E8" s="1176"/>
      <c r="F8" s="1176"/>
      <c r="G8" s="1176"/>
      <c r="H8" s="1176"/>
      <c r="I8" s="1176"/>
      <c r="J8" s="1176"/>
      <c r="K8" s="1176"/>
      <c r="L8" s="1176"/>
      <c r="M8" s="1176"/>
    </row>
    <row r="9" spans="1:29" ht="18" customHeight="1">
      <c r="A9" s="67"/>
      <c r="B9" s="67"/>
      <c r="C9" s="67"/>
      <c r="D9" s="67"/>
      <c r="E9" s="67"/>
      <c r="F9" s="67"/>
      <c r="G9" s="67"/>
      <c r="H9" s="67"/>
      <c r="I9" s="67"/>
      <c r="J9" s="67"/>
      <c r="K9" s="67"/>
      <c r="L9" s="67"/>
      <c r="M9" s="67"/>
    </row>
    <row r="10" spans="1:29" ht="19.5" customHeight="1">
      <c r="A10" s="52"/>
      <c r="B10" s="51"/>
      <c r="C10" s="15" t="s">
        <v>460</v>
      </c>
      <c r="E10" s="15" t="s">
        <v>461</v>
      </c>
      <c r="G10" s="15" t="s">
        <v>462</v>
      </c>
      <c r="I10" s="15" t="s">
        <v>463</v>
      </c>
      <c r="K10" s="15" t="s">
        <v>383</v>
      </c>
      <c r="M10" s="15" t="s">
        <v>384</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467</v>
      </c>
      <c r="B12" s="81"/>
      <c r="C12" s="81"/>
      <c r="D12" s="81"/>
      <c r="E12" s="82" t="s">
        <v>418</v>
      </c>
      <c r="F12" s="80"/>
      <c r="G12" s="80"/>
      <c r="H12" s="80"/>
      <c r="I12" s="80"/>
      <c r="J12" s="80"/>
      <c r="K12" s="54"/>
      <c r="L12" s="54"/>
      <c r="M12" s="399"/>
    </row>
    <row r="13" spans="1:29" ht="19.5">
      <c r="A13" s="83" t="s">
        <v>417</v>
      </c>
      <c r="B13" s="81"/>
      <c r="C13" s="83" t="s">
        <v>110</v>
      </c>
      <c r="D13" s="81"/>
      <c r="E13" s="84" t="s">
        <v>481</v>
      </c>
      <c r="F13" s="80"/>
      <c r="G13" s="83" t="s">
        <v>114</v>
      </c>
      <c r="H13" s="80"/>
      <c r="I13" s="83" t="s">
        <v>459</v>
      </c>
      <c r="J13" s="80"/>
      <c r="K13" s="400" t="s">
        <v>479</v>
      </c>
      <c r="L13" s="401"/>
      <c r="M13" s="400" t="s">
        <v>115</v>
      </c>
    </row>
    <row r="14" spans="1:29" ht="19.5">
      <c r="A14" s="52"/>
      <c r="B14" s="51"/>
      <c r="C14" s="49"/>
      <c r="D14" s="49"/>
      <c r="E14" s="49" t="s">
        <v>333</v>
      </c>
      <c r="F14" s="49"/>
      <c r="G14" s="49"/>
      <c r="H14" s="49"/>
      <c r="I14" s="49"/>
      <c r="J14" s="49"/>
      <c r="K14" s="48"/>
      <c r="L14" s="48"/>
    </row>
    <row r="15" spans="1:29" ht="19.5">
      <c r="A15" s="52"/>
      <c r="B15" s="51"/>
      <c r="C15" s="51"/>
      <c r="D15" s="51"/>
      <c r="E15" s="402"/>
      <c r="F15" s="51"/>
      <c r="G15" s="51"/>
      <c r="H15" s="51"/>
      <c r="I15" s="403"/>
      <c r="J15" s="51"/>
      <c r="K15" s="48"/>
      <c r="L15" s="48"/>
    </row>
    <row r="16" spans="1:29" ht="19.5">
      <c r="A16" s="52">
        <v>1</v>
      </c>
      <c r="B16" s="51"/>
      <c r="C16" s="53" t="s">
        <v>126</v>
      </c>
      <c r="D16" s="51"/>
      <c r="E16" s="48"/>
      <c r="F16" s="48"/>
      <c r="G16" s="66"/>
      <c r="H16" s="66"/>
      <c r="I16" s="66"/>
      <c r="J16" s="66"/>
      <c r="K16" s="66"/>
      <c r="L16" s="66"/>
      <c r="M16" s="66"/>
    </row>
    <row r="17" spans="1:15" ht="19.5">
      <c r="A17" s="52">
        <f>+A16+1</f>
        <v>2</v>
      </c>
      <c r="B17" s="51"/>
      <c r="C17" s="51" t="s">
        <v>111</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127</v>
      </c>
      <c r="D19" s="51"/>
      <c r="E19" s="48"/>
      <c r="F19" s="48"/>
      <c r="G19" s="66"/>
      <c r="H19" s="66"/>
      <c r="I19" s="66"/>
      <c r="J19" s="66"/>
      <c r="K19" s="66"/>
      <c r="L19" s="66"/>
      <c r="M19" s="66"/>
    </row>
    <row r="20" spans="1:15" ht="19.5">
      <c r="A20" s="52">
        <f>+A19+1</f>
        <v>4</v>
      </c>
      <c r="B20" s="51"/>
      <c r="C20" s="51" t="s">
        <v>808</v>
      </c>
      <c r="D20" s="51"/>
      <c r="E20" s="66">
        <f>'WS H-p2 Detail of Tax Amts'!E23</f>
        <v>14820432.983541105</v>
      </c>
      <c r="F20" s="51"/>
      <c r="G20" s="66">
        <f>+E20</f>
        <v>14820432.983541105</v>
      </c>
      <c r="H20" s="66"/>
      <c r="I20" s="66"/>
      <c r="J20" s="66"/>
      <c r="K20" s="66"/>
      <c r="L20" s="66"/>
      <c r="M20" s="66"/>
      <c r="O20"/>
    </row>
    <row r="21" spans="1:15" ht="19.5">
      <c r="A21" s="52">
        <f>+A20+1</f>
        <v>5</v>
      </c>
      <c r="B21" s="51"/>
      <c r="C21" s="51" t="s">
        <v>809</v>
      </c>
      <c r="D21" s="51"/>
      <c r="E21" s="66">
        <f>'WS H-p2 Detail of Tax Amts'!E30</f>
        <v>23730567.016458888</v>
      </c>
      <c r="F21" s="51"/>
      <c r="G21" s="66">
        <f>+E21</f>
        <v>23730567.016458888</v>
      </c>
      <c r="H21" s="66"/>
      <c r="I21" s="66"/>
      <c r="J21" s="66"/>
      <c r="K21" s="66"/>
      <c r="L21" s="66"/>
      <c r="M21" s="66"/>
      <c r="O21"/>
    </row>
    <row r="22" spans="1:15" ht="19.5">
      <c r="A22" s="52">
        <f>+A21+1</f>
        <v>6</v>
      </c>
      <c r="B22" s="51"/>
      <c r="C22" s="51" t="s">
        <v>617</v>
      </c>
      <c r="D22" s="51"/>
      <c r="E22" s="66">
        <f>'WS H-p2 Detail of Tax Amts'!E37</f>
        <v>0</v>
      </c>
      <c r="F22" s="51"/>
      <c r="G22" s="66">
        <f>+E22</f>
        <v>0</v>
      </c>
      <c r="H22" s="66"/>
      <c r="I22" s="66"/>
      <c r="J22" s="66"/>
      <c r="K22" s="66"/>
      <c r="L22" s="66"/>
      <c r="M22" s="66"/>
      <c r="O22"/>
    </row>
    <row r="23" spans="1:15" ht="19.5">
      <c r="A23" s="52">
        <f>+A22+1</f>
        <v>7</v>
      </c>
      <c r="B23" s="51"/>
      <c r="C23" s="51" t="s">
        <v>251</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04"/>
    </row>
    <row r="25" spans="1:15" ht="19.5">
      <c r="A25" s="52">
        <f>+A23+1</f>
        <v>8</v>
      </c>
      <c r="B25" s="51"/>
      <c r="C25" s="53" t="s">
        <v>128</v>
      </c>
      <c r="D25" s="51"/>
      <c r="E25" s="48"/>
      <c r="F25" s="48"/>
      <c r="G25" s="66"/>
      <c r="H25" s="66"/>
      <c r="I25" s="66"/>
      <c r="J25" s="66"/>
      <c r="K25" s="66"/>
      <c r="L25" s="66"/>
      <c r="M25" s="66"/>
      <c r="O25" s="404"/>
    </row>
    <row r="26" spans="1:15" ht="19.5">
      <c r="A26" s="52">
        <f>+A25+1</f>
        <v>9</v>
      </c>
      <c r="B26" s="51"/>
      <c r="C26" s="51" t="s">
        <v>124</v>
      </c>
      <c r="D26" s="51"/>
      <c r="E26" s="66">
        <f>+'WS H-p2 Detail of Tax Amts'!E50</f>
        <v>0</v>
      </c>
      <c r="F26" s="48"/>
      <c r="G26" s="66"/>
      <c r="H26" s="66"/>
      <c r="I26" s="66">
        <f>+E26</f>
        <v>0</v>
      </c>
      <c r="J26" s="66"/>
      <c r="K26" s="66"/>
      <c r="L26" s="66"/>
      <c r="M26" s="66"/>
      <c r="O26" s="404"/>
    </row>
    <row r="27" spans="1:15" ht="19.5">
      <c r="A27" s="52">
        <f>+A26+1</f>
        <v>10</v>
      </c>
      <c r="B27" s="51"/>
      <c r="C27" s="51" t="s">
        <v>117</v>
      </c>
      <c r="D27" s="51"/>
      <c r="E27" s="66">
        <f>+'WS H-p2 Detail of Tax Amts'!E52</f>
        <v>0</v>
      </c>
      <c r="F27" s="48"/>
      <c r="G27" s="48"/>
      <c r="H27" s="48"/>
      <c r="I27" s="66">
        <f>+E27</f>
        <v>0</v>
      </c>
      <c r="J27" s="51"/>
      <c r="K27" s="48"/>
      <c r="L27" s="48"/>
      <c r="M27" s="66"/>
    </row>
    <row r="28" spans="1:15" ht="19.5">
      <c r="A28" s="52">
        <f>+A27+1</f>
        <v>11</v>
      </c>
      <c r="B28" s="51"/>
      <c r="C28" s="51" t="s">
        <v>118</v>
      </c>
      <c r="D28" s="51"/>
      <c r="E28" s="66">
        <f>+'WS H-p2 Detail of Tax Amts'!E54</f>
        <v>0</v>
      </c>
      <c r="F28" s="48"/>
      <c r="G28" s="48"/>
      <c r="H28" s="48"/>
      <c r="I28" s="66">
        <f>+E28</f>
        <v>0</v>
      </c>
      <c r="J28" s="402"/>
      <c r="K28" s="48"/>
      <c r="L28" s="48"/>
      <c r="M28" s="66"/>
    </row>
    <row r="29" spans="1:15" ht="19.5">
      <c r="A29" s="52" t="s">
        <v>414</v>
      </c>
      <c r="B29" s="51"/>
      <c r="C29" s="48"/>
      <c r="D29" s="51"/>
      <c r="E29" s="48"/>
      <c r="F29" s="48"/>
      <c r="G29" s="48"/>
      <c r="H29" s="48"/>
      <c r="I29" s="405"/>
      <c r="J29" s="406"/>
      <c r="K29" s="407"/>
      <c r="L29" s="407"/>
      <c r="M29" s="66"/>
    </row>
    <row r="30" spans="1:15" ht="19.5">
      <c r="A30" s="52">
        <f>A28+1</f>
        <v>12</v>
      </c>
      <c r="B30" s="51"/>
      <c r="C30" s="408" t="s">
        <v>320</v>
      </c>
      <c r="D30" s="51"/>
      <c r="E30" s="105"/>
      <c r="F30" s="105"/>
      <c r="G30" s="105"/>
      <c r="H30" s="105"/>
      <c r="I30" s="409"/>
      <c r="J30" s="410"/>
      <c r="K30" s="411"/>
      <c r="L30" s="411"/>
      <c r="M30" s="412"/>
    </row>
    <row r="31" spans="1:15" ht="19.5">
      <c r="A31" s="52">
        <f>A30+1</f>
        <v>13</v>
      </c>
      <c r="B31" s="51"/>
      <c r="C31" s="51" t="s">
        <v>222</v>
      </c>
      <c r="D31" s="89"/>
      <c r="E31" s="66">
        <f>+'WS H-p2 Detail of Tax Amts'!E59</f>
        <v>0</v>
      </c>
      <c r="F31" s="48"/>
      <c r="G31" s="48"/>
      <c r="H31" s="48"/>
      <c r="I31" s="405"/>
      <c r="J31" s="406"/>
      <c r="K31" s="407"/>
      <c r="L31" s="407"/>
      <c r="M31" s="66">
        <f>E31</f>
        <v>0</v>
      </c>
    </row>
    <row r="32" spans="1:15" ht="19.5">
      <c r="A32" s="52"/>
      <c r="B32" s="51"/>
      <c r="C32" s="48"/>
      <c r="D32" s="51"/>
      <c r="E32" s="48"/>
      <c r="F32" s="48"/>
      <c r="G32" s="48"/>
      <c r="H32" s="48"/>
      <c r="I32" s="405"/>
      <c r="J32" s="406"/>
      <c r="K32" s="407"/>
      <c r="L32" s="407"/>
      <c r="M32" s="66"/>
    </row>
    <row r="33" spans="1:13" ht="19.5">
      <c r="A33" s="56">
        <f>A31+1</f>
        <v>14</v>
      </c>
      <c r="B33" s="57"/>
      <c r="C33" s="53" t="s">
        <v>125</v>
      </c>
      <c r="D33" s="58"/>
      <c r="E33" s="48"/>
      <c r="F33" s="48"/>
      <c r="G33" s="66"/>
      <c r="H33" s="66"/>
      <c r="I33" s="66"/>
      <c r="J33" s="66"/>
      <c r="K33" s="66"/>
      <c r="L33" s="66"/>
      <c r="M33" s="66"/>
    </row>
    <row r="34" spans="1:13" ht="19.5">
      <c r="A34" s="56">
        <f>A33+1</f>
        <v>15</v>
      </c>
      <c r="B34" s="57"/>
      <c r="C34" s="51" t="s">
        <v>221</v>
      </c>
      <c r="D34" s="58"/>
      <c r="E34" s="66">
        <f>+'WS H-p2 Detail of Tax Amts'!E62</f>
        <v>0</v>
      </c>
      <c r="F34" s="48"/>
      <c r="G34" s="66"/>
      <c r="H34" s="66"/>
      <c r="I34" s="66"/>
      <c r="J34" s="66"/>
      <c r="K34" s="66"/>
      <c r="L34" s="66"/>
      <c r="M34" s="66">
        <f>E34</f>
        <v>0</v>
      </c>
    </row>
    <row r="35" spans="1:13" ht="19.5">
      <c r="A35" s="52">
        <f>A34+1</f>
        <v>16</v>
      </c>
      <c r="B35" s="51"/>
      <c r="C35" s="51" t="s">
        <v>119</v>
      </c>
      <c r="D35" s="51"/>
      <c r="E35" s="66">
        <f>+'WS H-p2 Detail of Tax Amts'!E65</f>
        <v>0</v>
      </c>
      <c r="F35" s="48"/>
      <c r="G35" s="66"/>
      <c r="H35" s="66"/>
      <c r="I35" s="66"/>
      <c r="J35" s="66"/>
      <c r="K35" s="66">
        <f>+E35</f>
        <v>0</v>
      </c>
      <c r="L35" s="66"/>
      <c r="M35" s="66"/>
    </row>
    <row r="36" spans="1:13" ht="19.5">
      <c r="A36" s="52">
        <f t="shared" ref="A36:A41" si="0">+A35+1</f>
        <v>17</v>
      </c>
      <c r="B36" s="51"/>
      <c r="C36" s="51" t="s">
        <v>120</v>
      </c>
      <c r="D36"/>
      <c r="E36" s="66">
        <f>+'WS H-p2 Detail of Tax Amts'!E69</f>
        <v>0</v>
      </c>
      <c r="F36" s="48"/>
      <c r="G36" s="66"/>
      <c r="H36" s="66"/>
      <c r="I36" s="66"/>
      <c r="J36" s="66"/>
      <c r="K36" s="66">
        <f>+E36</f>
        <v>0</v>
      </c>
      <c r="L36" s="66"/>
      <c r="M36" s="66"/>
    </row>
    <row r="37" spans="1:13" ht="19.5">
      <c r="A37" s="52">
        <f>+A36+1</f>
        <v>18</v>
      </c>
      <c r="B37" s="51"/>
      <c r="C37" s="51" t="s">
        <v>121</v>
      </c>
      <c r="D37"/>
      <c r="E37" s="66">
        <f>'WS H-p2 Detail of Tax Amts'!E81</f>
        <v>0</v>
      </c>
      <c r="F37" s="48"/>
      <c r="G37" s="66"/>
      <c r="H37" s="66"/>
      <c r="I37" s="66"/>
      <c r="J37" s="66"/>
      <c r="K37" s="66">
        <f>+E37</f>
        <v>0</v>
      </c>
      <c r="L37" s="66"/>
      <c r="M37" s="66"/>
    </row>
    <row r="38" spans="1:13" ht="19.5">
      <c r="A38" s="52">
        <f t="shared" si="0"/>
        <v>19</v>
      </c>
      <c r="B38" s="51"/>
      <c r="C38" s="51" t="s">
        <v>122</v>
      </c>
      <c r="D38" s="51"/>
      <c r="E38" s="66">
        <f>+'WS H-p2 Detail of Tax Amts'!E86</f>
        <v>0</v>
      </c>
      <c r="F38" s="48"/>
      <c r="G38" s="66"/>
      <c r="H38" s="66"/>
      <c r="I38" s="66"/>
      <c r="J38" s="66"/>
      <c r="K38" s="66">
        <f>+E38</f>
        <v>0</v>
      </c>
      <c r="L38" s="66"/>
      <c r="M38" s="66"/>
    </row>
    <row r="39" spans="1:13" ht="19.5">
      <c r="A39" s="52">
        <f t="shared" si="0"/>
        <v>20</v>
      </c>
      <c r="B39" s="51"/>
      <c r="C39" s="51" t="s">
        <v>123</v>
      </c>
      <c r="D39" s="51"/>
      <c r="E39" s="66">
        <f>+'WS H-p2 Detail of Tax Amts'!E89</f>
        <v>0</v>
      </c>
      <c r="F39" s="48"/>
      <c r="G39" s="66"/>
      <c r="H39" s="66"/>
      <c r="I39" s="66"/>
      <c r="J39" s="66"/>
      <c r="K39" s="66"/>
      <c r="L39" s="66"/>
      <c r="M39" s="66">
        <f>+E39</f>
        <v>0</v>
      </c>
    </row>
    <row r="40" spans="1:13" ht="19.5">
      <c r="A40" s="52">
        <f t="shared" si="0"/>
        <v>21</v>
      </c>
      <c r="B40" s="48"/>
      <c r="C40" s="51" t="s">
        <v>112</v>
      </c>
      <c r="D40" s="48"/>
      <c r="E40" s="66">
        <f>+'WS H-p2 Detail of Tax Amts'!E95</f>
        <v>0</v>
      </c>
      <c r="F40" s="48"/>
      <c r="G40" s="66"/>
      <c r="H40" s="66"/>
      <c r="I40" s="66"/>
      <c r="J40" s="66"/>
      <c r="K40" s="66"/>
      <c r="L40" s="66"/>
      <c r="M40" s="66">
        <f>+E40</f>
        <v>0</v>
      </c>
    </row>
    <row r="41" spans="1:13" ht="19.5">
      <c r="A41" s="52">
        <f t="shared" si="0"/>
        <v>22</v>
      </c>
      <c r="B41" s="48"/>
      <c r="C41" s="51" t="s">
        <v>406</v>
      </c>
      <c r="D41" s="48"/>
      <c r="E41" s="66">
        <v>0</v>
      </c>
      <c r="F41" s="48"/>
      <c r="G41" s="66"/>
      <c r="H41" s="66"/>
      <c r="I41" s="66"/>
      <c r="J41" s="66"/>
      <c r="K41" s="66"/>
      <c r="L41" s="66"/>
      <c r="M41" s="66">
        <f>+E41</f>
        <v>0</v>
      </c>
    </row>
    <row r="42" spans="1:13" ht="19.5">
      <c r="A42" s="3"/>
      <c r="B42" s="41"/>
      <c r="C42" s="51"/>
      <c r="D42"/>
      <c r="E42"/>
      <c r="F42" s="48"/>
      <c r="H42" s="413"/>
      <c r="I42" s="414"/>
      <c r="J42" s="414"/>
      <c r="K42" s="407"/>
      <c r="L42" s="415"/>
      <c r="M42" s="415"/>
    </row>
    <row r="43" spans="1:13" ht="20.25" thickBot="1">
      <c r="A43" s="95">
        <f>+A41+1</f>
        <v>23</v>
      </c>
      <c r="B43" s="41"/>
      <c r="C43" s="51" t="s">
        <v>116</v>
      </c>
      <c r="D43"/>
      <c r="E43" s="416">
        <f>SUM(E17:E41)</f>
        <v>38550999.999999993</v>
      </c>
      <c r="F43" s="48"/>
      <c r="G43" s="416">
        <f>SUM(G17:G41)</f>
        <v>38550999.999999993</v>
      </c>
      <c r="H43" s="413"/>
      <c r="I43" s="416">
        <f>SUM(I17:I41)</f>
        <v>0</v>
      </c>
      <c r="J43" s="414"/>
      <c r="K43" s="416">
        <f>SUM(K17:K41)</f>
        <v>0</v>
      </c>
      <c r="L43" s="415"/>
      <c r="M43" s="416">
        <f>SUM(M17:M41)</f>
        <v>0</v>
      </c>
    </row>
    <row r="44" spans="1:13" ht="20.25" thickTop="1">
      <c r="A44" s="3"/>
      <c r="B44" s="41"/>
      <c r="C44" s="51" t="s">
        <v>181</v>
      </c>
      <c r="D44"/>
      <c r="E44"/>
      <c r="F44" s="48"/>
      <c r="G44" s="413"/>
      <c r="H44" s="413"/>
      <c r="I44" s="414"/>
      <c r="J44" s="151"/>
      <c r="K44" s="415"/>
      <c r="L44" s="415"/>
      <c r="M44" s="415"/>
    </row>
    <row r="45" spans="1:13" ht="19.5">
      <c r="A45" s="3"/>
      <c r="B45" s="41"/>
      <c r="C45" s="51" t="s">
        <v>5</v>
      </c>
      <c r="D45"/>
      <c r="E45"/>
      <c r="F45" s="48"/>
      <c r="G45" s="413"/>
      <c r="H45" s="413"/>
      <c r="I45" s="414"/>
      <c r="J45" s="151"/>
      <c r="K45" s="415"/>
      <c r="L45" s="415"/>
      <c r="M45" s="415"/>
    </row>
    <row r="46" spans="1:13" ht="19.5">
      <c r="A46" s="3"/>
      <c r="B46" s="41"/>
      <c r="C46" s="1178" t="s">
        <v>250</v>
      </c>
      <c r="D46" s="1178"/>
      <c r="E46" s="1178"/>
      <c r="F46" s="1178"/>
      <c r="G46" s="1178"/>
      <c r="H46" s="1178"/>
      <c r="I46" s="1178"/>
      <c r="J46" s="1178"/>
      <c r="K46" s="1178"/>
      <c r="L46" s="1178"/>
      <c r="M46" s="1178"/>
    </row>
    <row r="47" spans="1:13" ht="78">
      <c r="A47" s="52"/>
      <c r="C47" s="48"/>
      <c r="D47" s="48"/>
      <c r="E47" s="417" t="s">
        <v>321</v>
      </c>
      <c r="G47" s="418" t="s">
        <v>415</v>
      </c>
      <c r="H47" s="418"/>
      <c r="I47" s="417" t="s">
        <v>322</v>
      </c>
      <c r="J47" s="418"/>
      <c r="K47" s="418" t="s">
        <v>136</v>
      </c>
      <c r="L47" s="418"/>
      <c r="M47" s="418" t="s">
        <v>418</v>
      </c>
    </row>
    <row r="48" spans="1:13" ht="19.5">
      <c r="A48" s="52">
        <f>+A43+1</f>
        <v>24</v>
      </c>
      <c r="C48" s="105" t="str">
        <f>"Functionalized Net Plant (TCOS, Lns "&amp;TCOS!B83&amp;" thru "&amp;TCOS!B87&amp;")"</f>
        <v>Functionalized Net Plant (TCOS, Lns 33 thru 36)</v>
      </c>
      <c r="D48" s="48"/>
      <c r="E48" s="419">
        <v>0</v>
      </c>
      <c r="F48" s="105"/>
      <c r="G48" s="419">
        <f>+TCOS!G83</f>
        <v>3938421154.6023855</v>
      </c>
      <c r="H48" s="105"/>
      <c r="I48" s="419">
        <v>0</v>
      </c>
      <c r="J48" s="105"/>
      <c r="K48" s="419">
        <f>+TCOS!G84</f>
        <v>72440231.942690849</v>
      </c>
      <c r="L48" s="48"/>
      <c r="M48" s="420">
        <f>SUM(E48:K48)</f>
        <v>4010861386.5450764</v>
      </c>
    </row>
    <row r="49" spans="1:21" ht="19.5">
      <c r="A49" s="52"/>
      <c r="C49" s="54" t="s">
        <v>806</v>
      </c>
      <c r="D49" s="48"/>
      <c r="E49" s="420"/>
      <c r="F49" s="48"/>
      <c r="G49" s="421"/>
      <c r="H49" s="48"/>
      <c r="I49" s="420"/>
      <c r="J49" s="48"/>
      <c r="K49" s="420"/>
      <c r="L49" s="48"/>
      <c r="M49" s="422"/>
    </row>
    <row r="50" spans="1:21" ht="19.5">
      <c r="A50" s="52">
        <f>+A48+1</f>
        <v>25</v>
      </c>
      <c r="C50" s="48" t="str">
        <f>"Percentage of Plant in "&amp;C49&amp;""</f>
        <v>Percentage of Plant in MICHIGAN JURISDICTION</v>
      </c>
      <c r="D50" s="48"/>
      <c r="E50" s="434"/>
      <c r="F50" s="423"/>
      <c r="G50" s="434"/>
      <c r="H50" s="423"/>
      <c r="I50" s="434"/>
      <c r="J50" s="423"/>
      <c r="K50" s="434"/>
      <c r="L50" s="48"/>
      <c r="M50" s="422"/>
    </row>
    <row r="51" spans="1:21" ht="19.5">
      <c r="A51" s="52">
        <f t="shared" ref="A51:A58" si="1">+A50+1</f>
        <v>26</v>
      </c>
      <c r="C51" s="105" t="str">
        <f>"Net Plant in "&amp;C49&amp;" (Ln "&amp;A48&amp;" * Ln "&amp;A50&amp;")"</f>
        <v>Net Plant in MICHIGAN JURISDICTION (Ln 24 * Ln 25)</v>
      </c>
      <c r="D51" s="48"/>
      <c r="E51" s="420">
        <f>+E48*E50</f>
        <v>0</v>
      </c>
      <c r="F51" s="48"/>
      <c r="G51" s="420">
        <f>+G48*G50</f>
        <v>0</v>
      </c>
      <c r="H51" s="48"/>
      <c r="I51" s="420">
        <f>+I48*I50</f>
        <v>0</v>
      </c>
      <c r="J51" s="48"/>
      <c r="K51" s="420">
        <f>+K48*K50</f>
        <v>0</v>
      </c>
      <c r="L51" s="48"/>
      <c r="M51" s="420">
        <f>SUM(E51:K51)</f>
        <v>0</v>
      </c>
      <c r="O51"/>
    </row>
    <row r="52" spans="1:21" ht="19.5">
      <c r="A52" s="52">
        <f t="shared" si="1"/>
        <v>27</v>
      </c>
      <c r="C52" s="105" t="s">
        <v>549</v>
      </c>
      <c r="D52" s="48"/>
      <c r="E52" s="434"/>
      <c r="F52" s="48"/>
      <c r="G52" s="424"/>
      <c r="H52" s="48"/>
      <c r="I52" s="424"/>
      <c r="J52" s="48"/>
      <c r="K52" s="424"/>
      <c r="L52" s="48"/>
      <c r="M52" s="420"/>
      <c r="O52"/>
    </row>
    <row r="53" spans="1:21" ht="19.5">
      <c r="A53" s="52">
        <f t="shared" si="1"/>
        <v>28</v>
      </c>
      <c r="C53" s="48" t="str">
        <f>"Taxable Property Basis (Ln "&amp;A51&amp;" - Ln "&amp;A52&amp;")"</f>
        <v>Taxable Property Basis (Ln 26 - Ln 27)</v>
      </c>
      <c r="D53" s="48"/>
      <c r="E53" s="420">
        <f>+E51-E52</f>
        <v>0</v>
      </c>
      <c r="F53" s="48"/>
      <c r="G53" s="420">
        <f>+G51-G52</f>
        <v>0</v>
      </c>
      <c r="H53" s="48"/>
      <c r="I53" s="420">
        <f>+I51-I52</f>
        <v>0</v>
      </c>
      <c r="J53" s="48"/>
      <c r="K53" s="420">
        <f>+K51-K52</f>
        <v>0</v>
      </c>
      <c r="L53" s="48"/>
      <c r="M53" s="420">
        <f>SUM(E53:K53)</f>
        <v>0</v>
      </c>
      <c r="O53"/>
    </row>
    <row r="54" spans="1:21" ht="19.5">
      <c r="A54" s="52">
        <f t="shared" si="1"/>
        <v>29</v>
      </c>
      <c r="C54" s="66" t="s">
        <v>248</v>
      </c>
      <c r="D54" s="48"/>
      <c r="E54" s="434"/>
      <c r="F54" s="423"/>
      <c r="G54" s="434"/>
      <c r="H54" s="423"/>
      <c r="I54" s="434"/>
      <c r="J54" s="423"/>
      <c r="K54" s="434"/>
      <c r="L54" s="48"/>
      <c r="M54" s="420">
        <f>SUM(E54:K54)</f>
        <v>0</v>
      </c>
      <c r="O54"/>
    </row>
    <row r="55" spans="1:21" ht="19.5">
      <c r="A55" s="52">
        <f t="shared" si="1"/>
        <v>30</v>
      </c>
      <c r="C55" s="105" t="str">
        <f>"Weighted Net Plant (Ln "&amp;A53&amp;" * Ln "&amp;A54&amp;")"</f>
        <v>Weighted Net Plant (Ln 28 * Ln 29)</v>
      </c>
      <c r="D55" s="48"/>
      <c r="E55" s="420">
        <f>+E53*E54</f>
        <v>0</v>
      </c>
      <c r="F55" s="48"/>
      <c r="G55" s="420">
        <f>+G53*G54</f>
        <v>0</v>
      </c>
      <c r="H55" s="48"/>
      <c r="I55" s="420">
        <f>+I53*I54</f>
        <v>0</v>
      </c>
      <c r="J55" s="48"/>
      <c r="K55" s="420">
        <f>+K53*K54</f>
        <v>0</v>
      </c>
      <c r="L55" s="48"/>
      <c r="M55" s="420"/>
      <c r="O55"/>
      <c r="P55"/>
      <c r="Q55"/>
      <c r="R55"/>
      <c r="S55"/>
      <c r="T55"/>
      <c r="U55"/>
    </row>
    <row r="56" spans="1:21" ht="19.5">
      <c r="A56" s="52">
        <f t="shared" si="1"/>
        <v>31</v>
      </c>
      <c r="C56" s="48" t="str">
        <f>+"General Plant Allocator (Ln "&amp;A55&amp;" / (Total - General Plant))"</f>
        <v>General Plant Allocator (Ln 30 / (Total - General Plant))</v>
      </c>
      <c r="D56" s="48"/>
      <c r="E56" s="425">
        <f>IF(E54=0,0,+E55/($E55+$G55+$I55))</f>
        <v>0</v>
      </c>
      <c r="F56" s="48"/>
      <c r="G56" s="425">
        <v>1</v>
      </c>
      <c r="H56" s="48"/>
      <c r="I56" s="425">
        <f>IF(I54=0,0,+I55/($E55+$G55+$I55))</f>
        <v>0</v>
      </c>
      <c r="J56" s="48"/>
      <c r="K56" s="425">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26">
        <f>ROUND($K55*E56,0)</f>
        <v>0</v>
      </c>
      <c r="F57" s="48"/>
      <c r="G57" s="426">
        <f>+G56*K55</f>
        <v>0</v>
      </c>
      <c r="H57" s="48"/>
      <c r="I57" s="426">
        <f>ROUND($K55*I56,0)</f>
        <v>0</v>
      </c>
      <c r="J57" s="48"/>
      <c r="K57" s="426">
        <f>ROUND($K55*K56,0)</f>
        <v>0</v>
      </c>
      <c r="L57" s="48"/>
      <c r="M57" s="420">
        <f>IF(SUM(E57:K57)&lt;&gt;0,0,0)</f>
        <v>0</v>
      </c>
      <c r="O57"/>
      <c r="P57"/>
      <c r="Q57"/>
      <c r="R57"/>
      <c r="S57"/>
      <c r="T57"/>
      <c r="U57"/>
    </row>
    <row r="58" spans="1:21" ht="19.5">
      <c r="A58" s="52">
        <f t="shared" si="1"/>
        <v>33</v>
      </c>
      <c r="C58" s="48" t="str">
        <f>"Weighted "&amp;C49&amp;" Plant (Ln "&amp;A55&amp;" + "&amp;A57&amp;")"</f>
        <v>Weighted MICHIGAN JURISDICTION Plant (Ln 30 + 32)</v>
      </c>
      <c r="D58" s="48"/>
      <c r="E58" s="420">
        <f>+E55+E57</f>
        <v>0</v>
      </c>
      <c r="F58" s="48"/>
      <c r="G58" s="420">
        <f>+G55+G57</f>
        <v>0</v>
      </c>
      <c r="H58" s="48"/>
      <c r="I58" s="420">
        <f>+I55+I57</f>
        <v>0</v>
      </c>
      <c r="J58" s="48"/>
      <c r="K58" s="420">
        <f>+K55+K57</f>
        <v>0</v>
      </c>
      <c r="L58" s="48"/>
      <c r="M58" s="420">
        <f>SUM(E58:K58)-SUM(E57:K57)</f>
        <v>0</v>
      </c>
      <c r="O58"/>
    </row>
    <row r="59" spans="1:21" ht="19.5">
      <c r="A59" s="52">
        <f>+A58+1</f>
        <v>34</v>
      </c>
      <c r="C59" s="48" t="str">
        <f>"Functional Percentage (Ln "&amp;A58&amp;"/Total Ln "&amp;A58&amp;")"</f>
        <v>Functional Percentage (Ln 33/Total Ln 33)</v>
      </c>
      <c r="D59" s="48"/>
      <c r="E59" s="421">
        <f>IF(E58=0,0,+E58/$M$58)</f>
        <v>0</v>
      </c>
      <c r="F59" s="48"/>
      <c r="G59" s="421">
        <v>1</v>
      </c>
      <c r="H59" s="48"/>
      <c r="I59" s="421">
        <f>IF(I58=0,0,+I58/$M$58)</f>
        <v>0</v>
      </c>
      <c r="J59" s="48"/>
      <c r="K59"/>
      <c r="L59" s="48"/>
      <c r="M59" s="420"/>
      <c r="O59"/>
    </row>
    <row r="60" spans="1:21" ht="19.5">
      <c r="A60" s="52"/>
      <c r="C60" s="431" t="s">
        <v>807</v>
      </c>
      <c r="D60" s="48"/>
      <c r="E60" s="420"/>
      <c r="F60" s="48"/>
      <c r="G60" s="427"/>
      <c r="H60" s="48"/>
      <c r="I60" s="420"/>
      <c r="J60" s="48"/>
      <c r="K60" s="421"/>
      <c r="L60" s="48"/>
      <c r="M60" s="420"/>
      <c r="O60"/>
    </row>
    <row r="61" spans="1:21" ht="19.5">
      <c r="A61" s="52">
        <f>A59+1</f>
        <v>35</v>
      </c>
      <c r="C61" s="432" t="str">
        <f>"Net Plant in "&amp;C60&amp;" (Ln "&amp;A48&amp;" - Ln "&amp;A51&amp;")"</f>
        <v>Net Plant in INDIANA JURISDICTION (Ln 24 - Ln 26)</v>
      </c>
      <c r="D61" s="48"/>
      <c r="E61" s="420">
        <f>+E48-E51</f>
        <v>0</v>
      </c>
      <c r="F61" s="48"/>
      <c r="G61" s="420">
        <f>+G48-G51</f>
        <v>3938421154.6023855</v>
      </c>
      <c r="H61" s="48"/>
      <c r="I61" s="420">
        <f>+I48-I51</f>
        <v>0</v>
      </c>
      <c r="J61" s="48"/>
      <c r="K61" s="420">
        <f>+K48-K51</f>
        <v>72440231.942690849</v>
      </c>
      <c r="L61" s="48"/>
      <c r="M61" s="420">
        <f>SUM(E61:K61)</f>
        <v>4010861386.5450764</v>
      </c>
      <c r="O61"/>
    </row>
    <row r="62" spans="1:21" ht="19.5">
      <c r="A62" s="52">
        <f t="shared" ref="A62:A68" si="2">+A61+1</f>
        <v>36</v>
      </c>
      <c r="C62" s="105" t="s">
        <v>548</v>
      </c>
      <c r="D62" s="48"/>
      <c r="E62" s="434"/>
      <c r="F62" s="48"/>
      <c r="G62" s="424"/>
      <c r="H62" s="48"/>
      <c r="I62" s="424"/>
      <c r="J62" s="48"/>
      <c r="K62" s="424"/>
      <c r="L62" s="48"/>
      <c r="M62" s="420"/>
      <c r="O62"/>
    </row>
    <row r="63" spans="1:21" ht="19.5">
      <c r="A63" s="52">
        <f t="shared" si="2"/>
        <v>37</v>
      </c>
      <c r="C63" s="48" t="s">
        <v>249</v>
      </c>
      <c r="D63" s="48"/>
      <c r="E63" s="420">
        <f>+E61-E62</f>
        <v>0</v>
      </c>
      <c r="F63" s="48"/>
      <c r="G63" s="420">
        <f>+G61-G62</f>
        <v>3938421154.6023855</v>
      </c>
      <c r="H63" s="48"/>
      <c r="I63" s="420">
        <f>+I61-I62</f>
        <v>0</v>
      </c>
      <c r="J63" s="48"/>
      <c r="K63" s="420">
        <f>+K61-K62</f>
        <v>72440231.942690849</v>
      </c>
      <c r="L63" s="48"/>
      <c r="M63" s="420">
        <f>SUM(E63:K63)</f>
        <v>4010861386.5450764</v>
      </c>
      <c r="O63"/>
    </row>
    <row r="64" spans="1:21" ht="19.5">
      <c r="A64" s="52">
        <f t="shared" si="2"/>
        <v>38</v>
      </c>
      <c r="C64" s="66" t="s">
        <v>248</v>
      </c>
      <c r="D64" s="48"/>
      <c r="E64" s="434"/>
      <c r="F64" s="423"/>
      <c r="G64" s="434"/>
      <c r="H64" s="423"/>
      <c r="I64" s="434"/>
      <c r="J64" s="423"/>
      <c r="K64" s="434"/>
      <c r="L64" s="48"/>
      <c r="M64" s="420"/>
      <c r="O64"/>
    </row>
    <row r="65" spans="1:15" ht="19.5">
      <c r="A65" s="52">
        <f t="shared" si="2"/>
        <v>39</v>
      </c>
      <c r="C65" s="48" t="str">
        <f>"Weighted Net Plant (Ln "&amp;A63&amp;" * Ln "&amp;A64&amp;")"</f>
        <v>Weighted Net Plant (Ln 37 * Ln 38)</v>
      </c>
      <c r="D65" s="48"/>
      <c r="E65" s="420">
        <f>+E63*E64</f>
        <v>0</v>
      </c>
      <c r="F65" s="48"/>
      <c r="G65" s="420">
        <f>+G63*G64</f>
        <v>0</v>
      </c>
      <c r="H65" s="48"/>
      <c r="I65" s="420">
        <f>+I63*I64</f>
        <v>0</v>
      </c>
      <c r="J65" s="48"/>
      <c r="K65" s="420">
        <f>+K63*K64</f>
        <v>0</v>
      </c>
      <c r="L65" s="48"/>
      <c r="M65" s="420"/>
      <c r="O65"/>
    </row>
    <row r="66" spans="1:15" ht="19.5">
      <c r="A66" s="52">
        <f t="shared" si="2"/>
        <v>40</v>
      </c>
      <c r="C66" s="48" t="str">
        <f>+"General Plant Allocator (Ln "&amp;A65&amp;" / (Total - General Plant)"</f>
        <v>General Plant Allocator (Ln 39 / (Total - General Plant)</v>
      </c>
      <c r="D66" s="48"/>
      <c r="E66" s="425">
        <f>IF(E64=0,0,+E65/($E65+$G65+$I65))</f>
        <v>0</v>
      </c>
      <c r="F66" s="48"/>
      <c r="G66" s="425">
        <v>1</v>
      </c>
      <c r="H66" s="48"/>
      <c r="I66" s="425">
        <f>IF(I64=0,0,+I65/($E65+$G65+$I65))</f>
        <v>0</v>
      </c>
      <c r="J66" s="48"/>
      <c r="K66" s="425">
        <v>-1</v>
      </c>
      <c r="L66" s="48"/>
      <c r="M66" s="420"/>
      <c r="O66"/>
    </row>
    <row r="67" spans="1:15" ht="19.5">
      <c r="A67" s="52">
        <f t="shared" si="2"/>
        <v>41</v>
      </c>
      <c r="C67" s="48" t="str">
        <f>"Functionalized General Plant (Ln "&amp;A67&amp;" * General Plant)"</f>
        <v>Functionalized General Plant (Ln 41 * General Plant)</v>
      </c>
      <c r="D67" s="48"/>
      <c r="E67" s="426">
        <f>ROUND($K65*E66,0)</f>
        <v>0</v>
      </c>
      <c r="F67" s="48"/>
      <c r="G67" s="426">
        <f>ROUND($K65*G66,0)</f>
        <v>0</v>
      </c>
      <c r="H67" s="48"/>
      <c r="I67" s="426">
        <f>ROUND($K65*I66,0)</f>
        <v>0</v>
      </c>
      <c r="J67" s="48"/>
      <c r="K67" s="426">
        <f>ROUND($K65*K66,0)</f>
        <v>0</v>
      </c>
      <c r="L67" s="48"/>
      <c r="M67" s="420"/>
      <c r="O67"/>
    </row>
    <row r="68" spans="1:15" ht="19.5">
      <c r="A68" s="52">
        <f t="shared" si="2"/>
        <v>42</v>
      </c>
      <c r="C68" s="433" t="str">
        <f>"Weighted "&amp;C60&amp;" Plant (Ln "&amp;A65&amp;" + "&amp;A67&amp;")"</f>
        <v>Weighted INDIANA JURISDICTION Plant (Ln 39 + 41)</v>
      </c>
      <c r="D68" s="48"/>
      <c r="E68" s="420">
        <f>+E65+E67</f>
        <v>0</v>
      </c>
      <c r="F68" s="48"/>
      <c r="G68" s="420">
        <f>+G65+G67</f>
        <v>0</v>
      </c>
      <c r="H68" s="48"/>
      <c r="I68" s="420">
        <f>+I65+I67</f>
        <v>0</v>
      </c>
      <c r="J68" s="48"/>
      <c r="K68" s="420">
        <f>+K65+K67</f>
        <v>0</v>
      </c>
      <c r="L68" s="48"/>
      <c r="M68" s="420">
        <f>SUM(E68:K68)-SUM(E67:K67)</f>
        <v>0</v>
      </c>
      <c r="O68"/>
    </row>
    <row r="69" spans="1:15" ht="19.5">
      <c r="A69" s="52">
        <f>+A68+1</f>
        <v>43</v>
      </c>
      <c r="C69" s="48" t="str">
        <f>"Functional Percentage (Ln "&amp;A68&amp;"/Total Ln "&amp;A68&amp;")"</f>
        <v>Functional Percentage (Ln 42/Total Ln 42)</v>
      </c>
      <c r="D69" s="48"/>
      <c r="E69" s="421">
        <f>IF(E68=0,0,+E68/$M$68)</f>
        <v>0</v>
      </c>
      <c r="F69" s="48"/>
      <c r="G69" s="421">
        <v>1</v>
      </c>
      <c r="H69" s="48"/>
      <c r="I69" s="421">
        <f>IF(I68=0,0,+I68/$M$68)</f>
        <v>0</v>
      </c>
      <c r="J69"/>
      <c r="K69"/>
      <c r="L69" s="48"/>
      <c r="M69" s="420"/>
      <c r="O69"/>
    </row>
    <row r="70" spans="1:15" ht="19.5">
      <c r="A70" s="52"/>
      <c r="C70" s="48"/>
      <c r="D70" s="48"/>
      <c r="E70" s="66"/>
      <c r="F70" s="66"/>
      <c r="G70" s="66"/>
      <c r="H70" s="66"/>
      <c r="I70" s="66"/>
      <c r="J70" s="48"/>
      <c r="K70" s="428"/>
      <c r="L70" s="48"/>
      <c r="M70" s="66"/>
      <c r="O70"/>
    </row>
    <row r="71" spans="1:15" ht="19.5">
      <c r="A71" s="52"/>
      <c r="D71" s="48"/>
      <c r="E71" s="428"/>
      <c r="F71" s="48"/>
      <c r="G71" s="428"/>
      <c r="H71" s="48"/>
      <c r="I71" s="428"/>
      <c r="J71" s="48"/>
      <c r="K71" s="428"/>
      <c r="L71" s="48"/>
      <c r="M71" s="66"/>
      <c r="O71"/>
    </row>
    <row r="72" spans="1:15" ht="12.75">
      <c r="O72"/>
    </row>
    <row r="73" spans="1:15" ht="12.75">
      <c r="O73"/>
    </row>
    <row r="74" spans="1:15" ht="12.75">
      <c r="G74" s="429"/>
      <c r="O74"/>
    </row>
    <row r="215" spans="7:7" ht="15.75" thickBot="1"/>
    <row r="216" spans="7:7" ht="20.25" thickBot="1">
      <c r="G216" s="430"/>
    </row>
  </sheetData>
  <mergeCells count="7">
    <mergeCell ref="A8:M8"/>
    <mergeCell ref="A7:M7"/>
    <mergeCell ref="C46:M46"/>
    <mergeCell ref="A3:M3"/>
    <mergeCell ref="A4:M4"/>
    <mergeCell ref="A5:M5"/>
    <mergeCell ref="A6:M6"/>
  </mergeCells>
  <phoneticPr fontId="71"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117"/>
  <sheetViews>
    <sheetView view="pageBreakPreview" topLeftCell="A61" zoomScale="60" zoomScaleNormal="60" workbookViewId="0">
      <selection activeCell="E14" sqref="E14"/>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12" t="s">
        <v>414</v>
      </c>
    </row>
    <row r="2" spans="1:20" ht="15.75">
      <c r="A2" s="712" t="s">
        <v>414</v>
      </c>
    </row>
    <row r="3" spans="1:20" ht="18.75" customHeight="1">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80"/>
      <c r="G3" s="1180"/>
    </row>
    <row r="4" spans="1:20" ht="18.75" customHeight="1">
      <c r="A4" s="1139" t="str">
        <f>"Cost of Service Formula Rate Using Actual/Projected FF1 Balances"</f>
        <v>Cost of Service Formula Rate Using Actual/Projected FF1 Balances</v>
      </c>
      <c r="B4" s="1139"/>
      <c r="C4" s="1139"/>
      <c r="D4" s="1139"/>
      <c r="E4" s="1139"/>
      <c r="F4" s="1180"/>
      <c r="G4" s="1180"/>
      <c r="H4" s="1139"/>
      <c r="I4" s="1139"/>
      <c r="J4" s="1139"/>
      <c r="K4" s="1139"/>
      <c r="L4" s="1139"/>
      <c r="M4" s="1180"/>
    </row>
    <row r="5" spans="1:20" ht="18.75" customHeight="1">
      <c r="A5" s="1140" t="s">
        <v>254</v>
      </c>
      <c r="B5" s="1140"/>
      <c r="C5" s="1140"/>
      <c r="D5" s="1140"/>
      <c r="E5" s="1140"/>
      <c r="F5" s="1180"/>
      <c r="G5" s="1180"/>
    </row>
    <row r="6" spans="1:20" ht="18" customHeight="1">
      <c r="A6" s="1182" t="str">
        <f>+TCOS!F9</f>
        <v>AEP Indiana Michigan Transmission Company</v>
      </c>
      <c r="B6" s="1182"/>
      <c r="C6" s="1182"/>
      <c r="D6" s="1182"/>
      <c r="E6" s="1182"/>
      <c r="F6" s="1122"/>
      <c r="G6" s="1122"/>
      <c r="H6" s="104"/>
      <c r="I6" s="104"/>
      <c r="J6" s="104"/>
      <c r="K6" s="104"/>
      <c r="L6" s="104"/>
      <c r="M6" s="104"/>
    </row>
    <row r="7" spans="1:20" ht="18" customHeight="1">
      <c r="A7" s="67"/>
      <c r="B7" s="67"/>
      <c r="C7" s="67"/>
      <c r="D7" s="67"/>
      <c r="E7" s="67"/>
      <c r="F7" s="67"/>
    </row>
    <row r="8" spans="1:20" ht="19.5" customHeight="1">
      <c r="A8" s="52"/>
      <c r="B8" s="51"/>
      <c r="C8" s="15" t="s">
        <v>460</v>
      </c>
      <c r="E8" s="15" t="s">
        <v>461</v>
      </c>
      <c r="F8" s="15" t="s">
        <v>462</v>
      </c>
      <c r="G8" s="15" t="s">
        <v>463</v>
      </c>
    </row>
    <row r="9" spans="1:20" ht="18">
      <c r="A9" s="80"/>
      <c r="B9" s="81"/>
      <c r="C9" s="81"/>
      <c r="D9" s="81"/>
      <c r="E9"/>
      <c r="F9"/>
      <c r="G9" s="17"/>
      <c r="H9" s="17"/>
      <c r="I9" s="17"/>
      <c r="J9" s="17"/>
      <c r="K9" s="17"/>
      <c r="L9" s="17"/>
      <c r="M9" s="17"/>
      <c r="N9" s="17"/>
      <c r="O9" s="17"/>
      <c r="P9" s="17"/>
      <c r="Q9" s="17"/>
      <c r="R9" s="17"/>
      <c r="S9" s="17"/>
      <c r="T9" s="17"/>
    </row>
    <row r="10" spans="1:20" ht="18">
      <c r="A10" s="80" t="s">
        <v>467</v>
      </c>
      <c r="B10" s="81"/>
      <c r="C10" s="81"/>
      <c r="D10" s="81"/>
      <c r="E10" s="82" t="s">
        <v>418</v>
      </c>
      <c r="F10" s="80" t="s">
        <v>2</v>
      </c>
    </row>
    <row r="11" spans="1:20" ht="18">
      <c r="A11" s="83" t="s">
        <v>417</v>
      </c>
      <c r="B11" s="99"/>
      <c r="C11" s="83" t="s">
        <v>268</v>
      </c>
      <c r="D11" s="99"/>
      <c r="E11" s="84" t="s">
        <v>481</v>
      </c>
      <c r="F11" s="83" t="s">
        <v>3</v>
      </c>
      <c r="G11" s="84" t="s">
        <v>4</v>
      </c>
    </row>
    <row r="12" spans="1:20" ht="18">
      <c r="A12" s="52"/>
      <c r="B12" s="51"/>
      <c r="C12" s="49"/>
      <c r="D12" s="49"/>
      <c r="E12" s="49"/>
      <c r="F12" s="80"/>
      <c r="G12" s="82"/>
    </row>
    <row r="13" spans="1:20" ht="19.5">
      <c r="A13" s="52">
        <v>1</v>
      </c>
      <c r="B13" s="51"/>
      <c r="C13" s="53" t="s">
        <v>126</v>
      </c>
      <c r="D13" s="51"/>
      <c r="E13" s="48"/>
      <c r="F13" s="51"/>
    </row>
    <row r="14" spans="1:20" ht="19.5">
      <c r="A14" s="52">
        <f>+A13+1</f>
        <v>2</v>
      </c>
      <c r="B14" s="51"/>
      <c r="C14" s="48" t="s">
        <v>111</v>
      </c>
      <c r="D14" s="51"/>
      <c r="E14" s="66">
        <f>SUM(F15:F21)</f>
        <v>0</v>
      </c>
      <c r="F14" s="48"/>
    </row>
    <row r="15" spans="1:20" ht="19.5">
      <c r="A15" s="52"/>
      <c r="B15" s="51"/>
      <c r="C15" s="48"/>
      <c r="D15" s="51"/>
      <c r="E15" s="100"/>
      <c r="F15" s="435"/>
      <c r="G15" s="101"/>
    </row>
    <row r="16" spans="1:20" ht="19.5">
      <c r="A16" s="52"/>
      <c r="B16" s="51"/>
      <c r="C16" s="48"/>
      <c r="D16" s="51"/>
      <c r="E16" s="100"/>
      <c r="F16" s="435"/>
      <c r="G16" s="101"/>
    </row>
    <row r="17" spans="1:9" ht="19.5">
      <c r="A17" s="52"/>
      <c r="B17" s="51"/>
      <c r="C17" s="48"/>
      <c r="D17" s="51"/>
      <c r="E17" s="100"/>
      <c r="F17" s="435"/>
      <c r="G17" s="101"/>
    </row>
    <row r="18" spans="1:9" ht="19.5">
      <c r="A18" s="757"/>
      <c r="B18" s="718"/>
      <c r="C18" s="716"/>
      <c r="D18" s="718"/>
      <c r="E18" s="715"/>
      <c r="F18" s="714"/>
      <c r="G18" s="713"/>
      <c r="H18" s="717"/>
      <c r="I18" s="717"/>
    </row>
    <row r="19" spans="1:9" ht="18">
      <c r="A19" s="52"/>
      <c r="B19" s="51"/>
      <c r="C19" s="899" t="s">
        <v>460</v>
      </c>
      <c r="D19" s="899" t="s">
        <v>461</v>
      </c>
      <c r="E19" s="899" t="s">
        <v>462</v>
      </c>
      <c r="F19" s="899" t="s">
        <v>463</v>
      </c>
      <c r="G19" s="899" t="s">
        <v>383</v>
      </c>
      <c r="H19" s="900" t="s">
        <v>384</v>
      </c>
      <c r="I19" s="899" t="s">
        <v>385</v>
      </c>
    </row>
    <row r="20" spans="1:9" ht="47.25">
      <c r="A20" s="52"/>
      <c r="B20" s="51"/>
      <c r="C20" s="901" t="s">
        <v>698</v>
      </c>
      <c r="D20" s="902" t="s">
        <v>694</v>
      </c>
      <c r="E20" s="902" t="s">
        <v>695</v>
      </c>
      <c r="F20" s="902" t="s">
        <v>696</v>
      </c>
      <c r="G20" s="902" t="s">
        <v>4</v>
      </c>
      <c r="H20" s="903" t="s">
        <v>697</v>
      </c>
      <c r="I20" s="903" t="s">
        <v>699</v>
      </c>
    </row>
    <row r="21" spans="1:9" ht="19.5">
      <c r="A21" s="52"/>
      <c r="B21" s="51"/>
      <c r="C21" s="48"/>
      <c r="D21" s="51"/>
      <c r="E21" s="66"/>
      <c r="F21" s="720"/>
    </row>
    <row r="22" spans="1:9" ht="58.5">
      <c r="A22" s="52">
        <f>+A14+1</f>
        <v>3</v>
      </c>
      <c r="B22" s="51"/>
      <c r="C22" s="898" t="str">
        <f>"Real Estate and Personal Property Taxes Total
 (Ln "&amp;A23&amp;" + Ln "&amp;A30 &amp;" + Ln "&amp;A37&amp;" + Ln "&amp;A40&amp;")"</f>
        <v>Real Estate and Personal Property Taxes Total
 (Ln 4 + Ln 5 + Ln 6 + Ln 7)</v>
      </c>
      <c r="D22" s="51"/>
      <c r="E22" s="758">
        <f>E23+E30+E37+E40</f>
        <v>38550999.999999993</v>
      </c>
      <c r="F22" s="66"/>
      <c r="G22" s="48"/>
      <c r="I22" s="758">
        <f>I23+I30+I37+I40</f>
        <v>38550999.999999993</v>
      </c>
    </row>
    <row r="23" spans="1:9" ht="19.5">
      <c r="A23" s="52">
        <f>+A22+1</f>
        <v>4</v>
      </c>
      <c r="B23" s="51"/>
      <c r="C23" s="51" t="s">
        <v>808</v>
      </c>
      <c r="D23" s="51"/>
      <c r="E23" s="66">
        <f>SUM(F24:F29)</f>
        <v>14820432.983541105</v>
      </c>
      <c r="F23" s="100"/>
      <c r="G23" s="48"/>
      <c r="I23" s="66">
        <f>SUM(I24:I29)</f>
        <v>14820432.983541105</v>
      </c>
    </row>
    <row r="24" spans="1:9" ht="19.5">
      <c r="A24" s="52"/>
      <c r="B24" s="51"/>
      <c r="C24" s="51"/>
      <c r="D24" s="51"/>
      <c r="E24" s="66"/>
      <c r="F24" s="435">
        <v>14820432.983541105</v>
      </c>
      <c r="G24" s="722"/>
      <c r="H24" s="721">
        <v>1</v>
      </c>
      <c r="I24" s="720">
        <f t="shared" ref="I24:I29" si="0">F24*H24</f>
        <v>14820432.983541105</v>
      </c>
    </row>
    <row r="25" spans="1:9" ht="19.5">
      <c r="A25" s="52"/>
      <c r="B25" s="51"/>
      <c r="C25" s="51"/>
      <c r="D25" s="51"/>
      <c r="E25" s="66"/>
      <c r="F25" s="435"/>
      <c r="G25" s="722"/>
      <c r="H25" s="435"/>
      <c r="I25" s="720">
        <f t="shared" si="0"/>
        <v>0</v>
      </c>
    </row>
    <row r="26" spans="1:9" ht="19.5">
      <c r="A26" s="52"/>
      <c r="B26" s="51"/>
      <c r="C26" s="51"/>
      <c r="D26" s="51"/>
      <c r="E26" s="66"/>
      <c r="F26" s="435"/>
      <c r="G26" s="722"/>
      <c r="H26" s="435"/>
      <c r="I26" s="720">
        <f t="shared" si="0"/>
        <v>0</v>
      </c>
    </row>
    <row r="27" spans="1:9" ht="19.5">
      <c r="A27" s="52"/>
      <c r="B27" s="51"/>
      <c r="C27" s="51"/>
      <c r="D27" s="51"/>
      <c r="E27" s="66"/>
      <c r="F27" s="435"/>
      <c r="G27" s="722"/>
      <c r="H27" s="435"/>
      <c r="I27" s="720">
        <f t="shared" si="0"/>
        <v>0</v>
      </c>
    </row>
    <row r="28" spans="1:9" ht="19.5">
      <c r="A28" s="52"/>
      <c r="B28" s="51"/>
      <c r="C28" s="51"/>
      <c r="D28" s="51"/>
      <c r="E28" s="66"/>
      <c r="F28" s="435"/>
      <c r="G28" s="722"/>
      <c r="H28" s="435"/>
      <c r="I28" s="720">
        <f t="shared" si="0"/>
        <v>0</v>
      </c>
    </row>
    <row r="29" spans="1:9" ht="19.5">
      <c r="A29" s="52"/>
      <c r="B29" s="51"/>
      <c r="C29" s="51"/>
      <c r="D29" s="51"/>
      <c r="E29" s="66"/>
      <c r="F29" s="435"/>
      <c r="G29" s="722"/>
      <c r="H29" s="435"/>
      <c r="I29" s="720">
        <f t="shared" si="0"/>
        <v>0</v>
      </c>
    </row>
    <row r="30" spans="1:9" ht="19.5">
      <c r="A30" s="52">
        <f>+A23+1</f>
        <v>5</v>
      </c>
      <c r="B30" s="51"/>
      <c r="C30" s="51" t="s">
        <v>809</v>
      </c>
      <c r="D30" s="51"/>
      <c r="E30" s="66">
        <f>SUM(F31:F36)</f>
        <v>23730567.016458888</v>
      </c>
      <c r="F30" s="66"/>
      <c r="G30" s="48"/>
      <c r="I30" s="720">
        <f>SUM(I31:I36)</f>
        <v>23730567.016458888</v>
      </c>
    </row>
    <row r="31" spans="1:9" ht="19.5">
      <c r="A31" s="52"/>
      <c r="B31" s="51"/>
      <c r="C31" s="51"/>
      <c r="D31" s="51"/>
      <c r="E31" s="66"/>
      <c r="F31" s="435">
        <v>23730567.016458888</v>
      </c>
      <c r="G31" s="722"/>
      <c r="H31" s="721">
        <v>1</v>
      </c>
      <c r="I31" s="720">
        <f t="shared" ref="I31:I36" si="1">F31*H31</f>
        <v>23730567.016458888</v>
      </c>
    </row>
    <row r="32" spans="1:9" ht="19.5">
      <c r="A32" s="52"/>
      <c r="B32" s="51"/>
      <c r="C32" s="51"/>
      <c r="D32" s="51"/>
      <c r="E32" s="66"/>
      <c r="F32" s="435"/>
      <c r="G32" s="722"/>
      <c r="H32" s="435"/>
      <c r="I32" s="720">
        <f t="shared" si="1"/>
        <v>0</v>
      </c>
    </row>
    <row r="33" spans="1:9" ht="19.5">
      <c r="A33" s="52"/>
      <c r="B33" s="51"/>
      <c r="C33" s="51"/>
      <c r="D33" s="51"/>
      <c r="E33" s="66"/>
      <c r="F33" s="435"/>
      <c r="G33" s="722"/>
      <c r="H33" s="435"/>
      <c r="I33" s="720">
        <f t="shared" si="1"/>
        <v>0</v>
      </c>
    </row>
    <row r="34" spans="1:9" ht="19.5">
      <c r="A34" s="52"/>
      <c r="B34" s="51"/>
      <c r="C34" s="51"/>
      <c r="D34" s="51"/>
      <c r="E34" s="66"/>
      <c r="F34" s="435"/>
      <c r="G34" s="722"/>
      <c r="H34" s="435"/>
      <c r="I34" s="720">
        <f t="shared" si="1"/>
        <v>0</v>
      </c>
    </row>
    <row r="35" spans="1:9" ht="19.5">
      <c r="A35" s="52"/>
      <c r="B35" s="51"/>
      <c r="C35" s="51"/>
      <c r="D35" s="51"/>
      <c r="E35" s="66"/>
      <c r="F35" s="435"/>
      <c r="G35" s="722"/>
      <c r="H35" s="435"/>
      <c r="I35" s="720">
        <f t="shared" si="1"/>
        <v>0</v>
      </c>
    </row>
    <row r="36" spans="1:9" ht="19.5">
      <c r="A36" s="52"/>
      <c r="B36" s="51"/>
      <c r="C36" s="51"/>
      <c r="D36" s="51"/>
      <c r="E36" s="66"/>
      <c r="F36" s="435"/>
      <c r="G36" s="722"/>
      <c r="H36" s="435"/>
      <c r="I36" s="720">
        <f t="shared" si="1"/>
        <v>0</v>
      </c>
    </row>
    <row r="37" spans="1:9" ht="19.5">
      <c r="A37" s="52">
        <f>+A30+1</f>
        <v>6</v>
      </c>
      <c r="B37" s="51"/>
      <c r="C37" s="51" t="s">
        <v>617</v>
      </c>
      <c r="D37" s="51"/>
      <c r="E37" s="66">
        <f>+F38+F39</f>
        <v>0</v>
      </c>
      <c r="F37" s="48"/>
      <c r="I37" s="429">
        <f>SUM(I38:I39)</f>
        <v>0</v>
      </c>
    </row>
    <row r="38" spans="1:9" ht="19.5">
      <c r="A38" s="52"/>
      <c r="B38" s="51"/>
      <c r="C38" s="51"/>
      <c r="D38" s="51"/>
      <c r="E38" s="66"/>
      <c r="F38" s="435">
        <v>0</v>
      </c>
      <c r="G38" s="722"/>
      <c r="H38" s="721"/>
      <c r="I38" s="720">
        <f>F38*H38</f>
        <v>0</v>
      </c>
    </row>
    <row r="39" spans="1:9" ht="19.5">
      <c r="A39" s="52"/>
      <c r="B39" s="51"/>
      <c r="C39" s="51"/>
      <c r="D39" s="51"/>
      <c r="E39" s="66"/>
      <c r="F39" s="435"/>
      <c r="G39" s="722"/>
      <c r="H39" s="435"/>
      <c r="I39" s="720">
        <f>F39*H39</f>
        <v>0</v>
      </c>
    </row>
    <row r="40" spans="1:9" ht="19.5">
      <c r="A40" s="52">
        <f>+A37+1</f>
        <v>7</v>
      </c>
      <c r="B40" s="51"/>
      <c r="C40" s="51" t="s">
        <v>251</v>
      </c>
      <c r="D40" s="89"/>
      <c r="E40" s="66">
        <f>+F41</f>
        <v>0</v>
      </c>
      <c r="F40" s="51"/>
      <c r="I40" s="429">
        <f>SUM(I41)</f>
        <v>0</v>
      </c>
    </row>
    <row r="41" spans="1:9" ht="19.5">
      <c r="A41" s="52"/>
      <c r="B41" s="51"/>
      <c r="C41" s="51"/>
      <c r="D41" s="89"/>
      <c r="E41" s="66"/>
      <c r="F41" s="435">
        <v>0</v>
      </c>
      <c r="G41" s="722"/>
      <c r="H41" s="435"/>
      <c r="I41" s="720">
        <f>F41*H41</f>
        <v>0</v>
      </c>
    </row>
    <row r="42" spans="1:9" ht="19.5">
      <c r="A42" s="757"/>
      <c r="B42" s="718"/>
      <c r="C42" s="718"/>
      <c r="D42" s="719"/>
      <c r="E42" s="758"/>
      <c r="F42" s="718"/>
      <c r="G42" s="717"/>
      <c r="H42" s="717"/>
      <c r="I42" s="717"/>
    </row>
    <row r="43" spans="1:9" ht="23.25" customHeight="1">
      <c r="A43" s="52"/>
      <c r="B43" s="51"/>
      <c r="C43" s="51"/>
      <c r="D43" s="89"/>
      <c r="E43" s="66"/>
      <c r="F43" s="51"/>
    </row>
    <row r="44" spans="1:9" ht="18">
      <c r="A44" s="52"/>
      <c r="B44" s="51"/>
      <c r="C44" s="15" t="s">
        <v>460</v>
      </c>
      <c r="E44" s="15" t="s">
        <v>461</v>
      </c>
      <c r="F44" s="15" t="s">
        <v>462</v>
      </c>
      <c r="G44" s="15" t="s">
        <v>463</v>
      </c>
    </row>
    <row r="45" spans="1:9" ht="18">
      <c r="A45" s="80"/>
      <c r="B45" s="81"/>
      <c r="C45" s="81"/>
      <c r="D45" s="81"/>
      <c r="E45"/>
      <c r="F45"/>
      <c r="G45" s="17"/>
    </row>
    <row r="46" spans="1:9" ht="18">
      <c r="A46" s="80" t="s">
        <v>467</v>
      </c>
      <c r="B46" s="81"/>
      <c r="C46" s="81"/>
      <c r="D46" s="81"/>
      <c r="E46" s="82" t="s">
        <v>418</v>
      </c>
      <c r="F46" s="80" t="s">
        <v>2</v>
      </c>
    </row>
    <row r="47" spans="1:9" ht="18">
      <c r="A47" s="83" t="s">
        <v>417</v>
      </c>
      <c r="B47" s="99"/>
      <c r="C47" s="83" t="s">
        <v>268</v>
      </c>
      <c r="D47" s="99"/>
      <c r="E47" s="84" t="s">
        <v>481</v>
      </c>
      <c r="F47" s="83" t="s">
        <v>3</v>
      </c>
      <c r="G47" s="84" t="s">
        <v>4</v>
      </c>
    </row>
    <row r="48" spans="1:9" ht="19.5">
      <c r="A48" s="52"/>
      <c r="B48" s="51"/>
      <c r="C48" s="54"/>
      <c r="D48" s="51"/>
      <c r="E48" s="48"/>
    </row>
    <row r="49" spans="1:7" ht="19.5">
      <c r="A49" s="52">
        <f>+A40+1</f>
        <v>8</v>
      </c>
      <c r="B49" s="51"/>
      <c r="C49" s="53" t="s">
        <v>128</v>
      </c>
      <c r="D49" s="51"/>
      <c r="E49" s="48"/>
      <c r="F49" s="102"/>
      <c r="G49" s="48"/>
    </row>
    <row r="50" spans="1:7" ht="19.5">
      <c r="A50" s="52">
        <f>+A49+1</f>
        <v>9</v>
      </c>
      <c r="B50" s="51"/>
      <c r="C50" s="51" t="s">
        <v>124</v>
      </c>
      <c r="D50" s="51"/>
      <c r="E50" s="66">
        <f>+F51</f>
        <v>0</v>
      </c>
      <c r="F50" s="48"/>
      <c r="G50" s="48"/>
    </row>
    <row r="51" spans="1:7" ht="19.5">
      <c r="A51" s="52"/>
      <c r="B51" s="51"/>
      <c r="C51" s="51"/>
      <c r="D51" s="51"/>
      <c r="E51" s="66"/>
      <c r="F51" s="435">
        <v>0</v>
      </c>
      <c r="G51" s="101"/>
    </row>
    <row r="52" spans="1:7" ht="19.5">
      <c r="A52" s="52">
        <f>+A50+1</f>
        <v>10</v>
      </c>
      <c r="B52" s="51"/>
      <c r="C52" s="51" t="s">
        <v>117</v>
      </c>
      <c r="D52" s="51"/>
      <c r="E52" s="66">
        <f>+F53</f>
        <v>0</v>
      </c>
      <c r="F52" s="48"/>
      <c r="G52" s="48"/>
    </row>
    <row r="53" spans="1:7" ht="19.5">
      <c r="A53" s="52"/>
      <c r="B53" s="51"/>
      <c r="C53" s="51"/>
      <c r="D53" s="51"/>
      <c r="E53" s="66"/>
      <c r="F53" s="435">
        <v>0</v>
      </c>
      <c r="G53" s="101"/>
    </row>
    <row r="54" spans="1:7" ht="19.5">
      <c r="A54" s="52">
        <f>+A52+1</f>
        <v>11</v>
      </c>
      <c r="B54" s="51"/>
      <c r="C54" s="51" t="s">
        <v>118</v>
      </c>
      <c r="D54" s="51"/>
      <c r="E54" s="66">
        <f>+F55+F56+F57</f>
        <v>0</v>
      </c>
      <c r="F54" s="48"/>
      <c r="G54" s="48"/>
    </row>
    <row r="55" spans="1:7" ht="19.5">
      <c r="A55" s="52" t="s">
        <v>414</v>
      </c>
      <c r="B55" s="51"/>
      <c r="C55" s="48"/>
      <c r="D55" s="51"/>
      <c r="E55" s="48"/>
      <c r="F55" s="435">
        <v>0</v>
      </c>
      <c r="G55" s="101"/>
    </row>
    <row r="56" spans="1:7" ht="19.5">
      <c r="A56" s="52"/>
      <c r="B56" s="51"/>
      <c r="C56" s="48"/>
      <c r="D56" s="51"/>
      <c r="E56" s="48"/>
      <c r="F56" s="435"/>
      <c r="G56" s="101"/>
    </row>
    <row r="57" spans="1:7" ht="19.5">
      <c r="A57" s="52"/>
      <c r="B57" s="51"/>
      <c r="C57" s="48"/>
      <c r="D57" s="51"/>
      <c r="E57" s="48"/>
      <c r="F57" s="435"/>
      <c r="G57" s="101"/>
    </row>
    <row r="58" spans="1:7" ht="19.5">
      <c r="A58" s="52">
        <f>A54+1</f>
        <v>12</v>
      </c>
      <c r="B58" s="51"/>
      <c r="C58" s="106" t="s">
        <v>323</v>
      </c>
      <c r="D58" s="51"/>
      <c r="E58" s="105"/>
      <c r="F58" s="48"/>
      <c r="G58" s="48"/>
    </row>
    <row r="59" spans="1:7" ht="19.5">
      <c r="A59" s="52">
        <f>A58+1</f>
        <v>13</v>
      </c>
      <c r="B59" s="51"/>
      <c r="C59" s="48" t="s">
        <v>222</v>
      </c>
      <c r="D59" s="89"/>
      <c r="E59" s="66">
        <f>+F60</f>
        <v>0</v>
      </c>
      <c r="G59" s="48"/>
    </row>
    <row r="60" spans="1:7" ht="19.5">
      <c r="A60" s="52"/>
      <c r="B60" s="51"/>
      <c r="C60" s="48"/>
      <c r="D60" s="51"/>
      <c r="E60" s="48"/>
      <c r="F60" s="435">
        <v>0</v>
      </c>
      <c r="G60" s="48"/>
    </row>
    <row r="61" spans="1:7" ht="19.5">
      <c r="A61" s="56">
        <f>A59+1</f>
        <v>14</v>
      </c>
      <c r="B61" s="57"/>
      <c r="C61" s="53" t="s">
        <v>125</v>
      </c>
      <c r="D61" s="58"/>
      <c r="E61" s="48"/>
      <c r="F61" s="100"/>
      <c r="G61" s="48"/>
    </row>
    <row r="62" spans="1:7" ht="19.5">
      <c r="A62" s="56">
        <f>A61+1</f>
        <v>15</v>
      </c>
      <c r="B62" s="57"/>
      <c r="C62" s="48" t="s">
        <v>221</v>
      </c>
      <c r="D62" s="58"/>
      <c r="E62" s="66">
        <f>+F63+F64</f>
        <v>0</v>
      </c>
      <c r="F62" s="48"/>
      <c r="G62" s="48"/>
    </row>
    <row r="63" spans="1:7" ht="19.5">
      <c r="A63" s="56"/>
      <c r="B63" s="57"/>
      <c r="C63" s="48"/>
      <c r="D63" s="58"/>
      <c r="E63" s="66"/>
      <c r="F63" s="435">
        <v>0</v>
      </c>
      <c r="G63" s="101"/>
    </row>
    <row r="64" spans="1:7" ht="19.5">
      <c r="A64" s="56"/>
      <c r="B64" s="57"/>
      <c r="C64" s="48"/>
      <c r="D64" s="58"/>
      <c r="E64" s="66"/>
      <c r="F64" s="435"/>
      <c r="G64" s="101"/>
    </row>
    <row r="65" spans="1:7" ht="19.5">
      <c r="A65" s="52">
        <f>A62+1</f>
        <v>16</v>
      </c>
      <c r="B65" s="51"/>
      <c r="C65" s="48" t="s">
        <v>119</v>
      </c>
      <c r="D65" s="51"/>
      <c r="E65" s="66">
        <f>+F66+F67+F68</f>
        <v>0</v>
      </c>
      <c r="F65" s="48"/>
      <c r="G65" s="48"/>
    </row>
    <row r="66" spans="1:7" ht="19.5">
      <c r="A66" s="52"/>
      <c r="B66" s="51"/>
      <c r="C66" s="48"/>
      <c r="D66" s="51"/>
      <c r="E66" s="66"/>
      <c r="F66" s="435">
        <v>0</v>
      </c>
      <c r="G66" s="101"/>
    </row>
    <row r="67" spans="1:7" ht="19.5">
      <c r="A67" s="52"/>
      <c r="B67" s="51"/>
      <c r="C67" s="48"/>
      <c r="D67" s="51"/>
      <c r="E67" s="66"/>
      <c r="F67" s="435"/>
      <c r="G67" s="101"/>
    </row>
    <row r="68" spans="1:7" ht="19.5">
      <c r="A68" s="52"/>
      <c r="B68" s="51"/>
      <c r="C68" s="48"/>
      <c r="D68" s="51"/>
      <c r="E68" s="66"/>
      <c r="F68" s="435"/>
      <c r="G68" s="101"/>
    </row>
    <row r="69" spans="1:7" ht="19.5">
      <c r="A69" s="52">
        <f>+A65+1</f>
        <v>17</v>
      </c>
      <c r="B69" s="51"/>
      <c r="C69" s="48" t="s">
        <v>120</v>
      </c>
      <c r="D69"/>
      <c r="E69" s="66">
        <f>SUM(F70:F80)</f>
        <v>0</v>
      </c>
      <c r="F69" s="48"/>
      <c r="G69" s="48"/>
    </row>
    <row r="70" spans="1:7" ht="19.5">
      <c r="A70" s="52"/>
      <c r="B70" s="51"/>
      <c r="C70" s="48"/>
      <c r="D70"/>
      <c r="E70" s="66"/>
      <c r="F70" s="435">
        <v>0</v>
      </c>
      <c r="G70" s="101"/>
    </row>
    <row r="71" spans="1:7" ht="19.5">
      <c r="A71" s="52"/>
      <c r="B71" s="51"/>
      <c r="C71" s="48"/>
      <c r="D71"/>
      <c r="E71" s="66"/>
      <c r="F71" s="435"/>
      <c r="G71" s="101"/>
    </row>
    <row r="72" spans="1:7" ht="19.5">
      <c r="A72" s="52"/>
      <c r="B72" s="51"/>
      <c r="C72" s="48"/>
      <c r="D72"/>
      <c r="E72" s="66"/>
      <c r="F72" s="435"/>
      <c r="G72" s="101"/>
    </row>
    <row r="73" spans="1:7" ht="19.5">
      <c r="A73" s="52"/>
      <c r="B73" s="51"/>
      <c r="C73" s="48"/>
      <c r="D73"/>
      <c r="E73" s="66"/>
      <c r="F73" s="435"/>
      <c r="G73" s="101"/>
    </row>
    <row r="74" spans="1:7" ht="19.5">
      <c r="A74" s="52"/>
      <c r="B74" s="51"/>
      <c r="C74" s="48"/>
      <c r="D74"/>
      <c r="E74" s="66"/>
      <c r="F74" s="435"/>
      <c r="G74" s="101"/>
    </row>
    <row r="75" spans="1:7" ht="19.5">
      <c r="A75" s="52"/>
      <c r="B75" s="51"/>
      <c r="C75" s="48"/>
      <c r="D75"/>
      <c r="E75" s="66"/>
      <c r="F75" s="435"/>
      <c r="G75" s="101"/>
    </row>
    <row r="76" spans="1:7" ht="19.5">
      <c r="A76" s="52"/>
      <c r="B76" s="51"/>
      <c r="C76" s="48"/>
      <c r="D76"/>
      <c r="E76" s="66"/>
      <c r="F76" s="435"/>
      <c r="G76" s="101"/>
    </row>
    <row r="77" spans="1:7" ht="19.5">
      <c r="A77" s="52"/>
      <c r="B77" s="51"/>
      <c r="C77" s="48"/>
      <c r="D77"/>
      <c r="E77" s="66"/>
      <c r="F77" s="435"/>
      <c r="G77" s="101"/>
    </row>
    <row r="78" spans="1:7" ht="19.5">
      <c r="A78" s="52"/>
      <c r="B78" s="51"/>
      <c r="C78" s="48"/>
      <c r="D78"/>
      <c r="E78" s="66"/>
      <c r="F78" s="435"/>
      <c r="G78" s="101"/>
    </row>
    <row r="79" spans="1:7" ht="19.5">
      <c r="A79" s="52"/>
      <c r="B79" s="51"/>
      <c r="C79" s="48"/>
      <c r="D79"/>
      <c r="E79" s="66"/>
      <c r="F79" s="435"/>
      <c r="G79" s="101"/>
    </row>
    <row r="80" spans="1:7" ht="19.5">
      <c r="A80" s="52"/>
      <c r="B80" s="51"/>
      <c r="C80" s="48"/>
      <c r="D80"/>
      <c r="E80" s="66"/>
      <c r="F80" s="435"/>
      <c r="G80" s="101"/>
    </row>
    <row r="81" spans="1:7" ht="19.5">
      <c r="A81" s="52">
        <f>+A69+1</f>
        <v>18</v>
      </c>
      <c r="B81" s="51"/>
      <c r="C81" s="48" t="s">
        <v>121</v>
      </c>
      <c r="D81"/>
      <c r="E81" s="66">
        <f>SUM(F82:F85)</f>
        <v>0</v>
      </c>
      <c r="F81" s="48"/>
      <c r="G81" s="48"/>
    </row>
    <row r="82" spans="1:7" ht="19.5">
      <c r="A82" s="52"/>
      <c r="B82" s="51"/>
      <c r="C82" s="48"/>
      <c r="D82"/>
      <c r="E82" s="66"/>
      <c r="F82" s="435">
        <v>0</v>
      </c>
      <c r="G82" s="101"/>
    </row>
    <row r="83" spans="1:7" ht="19.5">
      <c r="A83" s="52"/>
      <c r="B83" s="51"/>
      <c r="C83" s="48"/>
      <c r="D83"/>
      <c r="E83" s="66"/>
      <c r="F83" s="435"/>
      <c r="G83" s="101"/>
    </row>
    <row r="84" spans="1:7" ht="19.5">
      <c r="A84" s="52"/>
      <c r="B84" s="51"/>
      <c r="C84" s="48"/>
      <c r="D84"/>
      <c r="E84" s="66"/>
      <c r="F84" s="435"/>
      <c r="G84" s="101"/>
    </row>
    <row r="85" spans="1:7" ht="19.5">
      <c r="A85" s="52"/>
      <c r="B85" s="51"/>
      <c r="C85" s="48"/>
      <c r="D85"/>
      <c r="E85" s="66"/>
      <c r="F85" s="435"/>
      <c r="G85" s="101"/>
    </row>
    <row r="86" spans="1:7" ht="19.5">
      <c r="A86" s="52">
        <f>+A81+1</f>
        <v>19</v>
      </c>
      <c r="B86" s="51"/>
      <c r="C86" s="48" t="s">
        <v>122</v>
      </c>
      <c r="D86" s="51"/>
      <c r="E86" s="66">
        <f>F87</f>
        <v>0</v>
      </c>
      <c r="F86" s="48"/>
      <c r="G86" s="48"/>
    </row>
    <row r="87" spans="1:7" ht="19.5">
      <c r="A87" s="52"/>
      <c r="B87" s="51"/>
      <c r="C87" s="48"/>
      <c r="D87" s="51"/>
      <c r="E87" s="66"/>
      <c r="F87" s="435">
        <v>0</v>
      </c>
      <c r="G87" s="101"/>
    </row>
    <row r="88" spans="1:7" ht="19.5">
      <c r="A88" s="52"/>
      <c r="B88" s="51"/>
      <c r="C88" s="48"/>
      <c r="D88" s="51"/>
      <c r="E88" s="66"/>
      <c r="F88" s="121"/>
      <c r="G88" s="48"/>
    </row>
    <row r="89" spans="1:7" ht="19.5">
      <c r="A89" s="52">
        <f>+A86+1</f>
        <v>20</v>
      </c>
      <c r="B89" s="51"/>
      <c r="C89" s="48" t="s">
        <v>123</v>
      </c>
      <c r="D89" s="51"/>
      <c r="E89" s="66">
        <f>SUM(F90:F94)</f>
        <v>0</v>
      </c>
      <c r="F89" s="48"/>
      <c r="G89" s="101"/>
    </row>
    <row r="90" spans="1:7" ht="19.5">
      <c r="A90" s="52"/>
      <c r="B90" s="51"/>
      <c r="C90" s="48"/>
      <c r="D90" s="51"/>
      <c r="E90" s="66"/>
      <c r="F90" s="435">
        <v>0</v>
      </c>
      <c r="G90" s="101"/>
    </row>
    <row r="91" spans="1:7" ht="19.5">
      <c r="A91" s="52"/>
      <c r="B91" s="51"/>
      <c r="C91" s="48"/>
      <c r="D91" s="51"/>
      <c r="E91" s="66"/>
      <c r="F91" s="435"/>
      <c r="G91" s="101"/>
    </row>
    <row r="92" spans="1:7" ht="19.5">
      <c r="A92" s="52"/>
      <c r="B92" s="51"/>
      <c r="C92" s="48"/>
      <c r="D92" s="51"/>
      <c r="E92" s="66"/>
      <c r="F92" s="435"/>
      <c r="G92" s="101"/>
    </row>
    <row r="93" spans="1:7" ht="19.5">
      <c r="A93" s="52"/>
      <c r="B93" s="51"/>
      <c r="C93" s="48"/>
      <c r="D93" s="51"/>
      <c r="E93" s="66"/>
      <c r="F93" s="435"/>
      <c r="G93" s="101"/>
    </row>
    <row r="94" spans="1:7" ht="19.5">
      <c r="A94" s="52"/>
      <c r="B94" s="51"/>
      <c r="C94" s="48"/>
      <c r="D94" s="51"/>
      <c r="E94" s="66"/>
      <c r="F94" s="435"/>
      <c r="G94" s="101"/>
    </row>
    <row r="95" spans="1:7" ht="19.5">
      <c r="A95" s="52">
        <f>+A89+1</f>
        <v>21</v>
      </c>
      <c r="B95" s="48"/>
      <c r="C95" s="48" t="s">
        <v>112</v>
      </c>
      <c r="D95" s="48"/>
      <c r="E95" s="66">
        <f>SUM(F96:F97)</f>
        <v>0</v>
      </c>
      <c r="F95" s="100"/>
      <c r="G95" s="101"/>
    </row>
    <row r="96" spans="1:7" ht="19.5">
      <c r="A96" s="52"/>
      <c r="B96" s="48"/>
      <c r="C96" s="48"/>
      <c r="D96" s="48"/>
      <c r="E96" s="50"/>
      <c r="F96" s="435">
        <v>0</v>
      </c>
      <c r="G96" s="101"/>
    </row>
    <row r="97" spans="1:7" ht="19.5">
      <c r="A97" s="52"/>
      <c r="B97" s="48"/>
      <c r="C97" s="48"/>
      <c r="D97" s="48"/>
      <c r="E97" s="50"/>
      <c r="F97" s="435"/>
      <c r="G97" s="101"/>
    </row>
    <row r="98" spans="1:7" ht="19.5">
      <c r="A98" s="52">
        <f>+A95+1</f>
        <v>22</v>
      </c>
      <c r="B98" s="48"/>
      <c r="C98" s="61" t="s">
        <v>406</v>
      </c>
      <c r="D98" s="48"/>
      <c r="E98" s="66">
        <f>+F99</f>
        <v>0</v>
      </c>
      <c r="G98" s="48"/>
    </row>
    <row r="99" spans="1:7" ht="19.5">
      <c r="A99" s="52"/>
      <c r="B99" s="48"/>
      <c r="C99" s="61"/>
      <c r="D99" s="48"/>
      <c r="E99" s="48"/>
      <c r="F99" s="435">
        <v>0</v>
      </c>
      <c r="G99" s="48"/>
    </row>
    <row r="100" spans="1:7" ht="19.5">
      <c r="A100" s="3"/>
      <c r="B100" s="98"/>
      <c r="C100" s="98"/>
      <c r="D100"/>
      <c r="E100"/>
      <c r="F100" s="100"/>
      <c r="G100" s="48"/>
    </row>
    <row r="101" spans="1:7" ht="20.25" thickBot="1">
      <c r="A101" s="95">
        <f>+A98+1</f>
        <v>23</v>
      </c>
      <c r="B101" s="98"/>
      <c r="C101" s="48" t="s">
        <v>116</v>
      </c>
      <c r="D101"/>
      <c r="E101" s="60">
        <f>E98+E95+E89+E86+E81+E69+E65+E62+E59+E54+E52+E50+E22+E14</f>
        <v>38550999.999999993</v>
      </c>
      <c r="F101" s="60">
        <f>SUM(F14:F99)</f>
        <v>38550999.999999993</v>
      </c>
      <c r="G101" s="48"/>
    </row>
    <row r="102" spans="1:7" ht="20.25" thickTop="1">
      <c r="A102" s="3"/>
      <c r="B102" s="98"/>
      <c r="C102" s="48" t="s">
        <v>181</v>
      </c>
      <c r="D102"/>
      <c r="E102"/>
      <c r="F102" s="48"/>
      <c r="G102" s="48"/>
    </row>
    <row r="103" spans="1:7" ht="19.5">
      <c r="A103" s="3"/>
      <c r="B103" s="98"/>
      <c r="C103" s="48"/>
      <c r="D103"/>
      <c r="E103"/>
      <c r="F103" s="66" t="s">
        <v>414</v>
      </c>
      <c r="G103" s="48"/>
    </row>
    <row r="104" spans="1:7" ht="21.75" customHeight="1">
      <c r="A104" s="1181" t="s">
        <v>766</v>
      </c>
      <c r="B104" s="1181"/>
      <c r="C104" s="1181"/>
      <c r="D104" s="1181"/>
      <c r="E104" s="1181"/>
      <c r="F104" s="1181"/>
      <c r="G104" s="1181"/>
    </row>
    <row r="105" spans="1:7" ht="21.75" customHeight="1">
      <c r="A105" s="1181"/>
      <c r="B105" s="1181"/>
      <c r="C105" s="1181"/>
      <c r="D105" s="1181"/>
      <c r="E105" s="1181"/>
      <c r="F105" s="1181"/>
      <c r="G105" s="1181"/>
    </row>
    <row r="106" spans="1:7" ht="21.75" customHeight="1">
      <c r="A106" s="1181"/>
      <c r="B106" s="1181"/>
      <c r="C106" s="1181"/>
      <c r="D106" s="1181"/>
      <c r="E106" s="1181"/>
      <c r="F106" s="1181"/>
      <c r="G106" s="1181"/>
    </row>
    <row r="107" spans="1:7" ht="21.75" customHeight="1">
      <c r="A107" s="1181"/>
      <c r="B107" s="1181"/>
      <c r="C107" s="1181"/>
      <c r="D107" s="1181"/>
      <c r="E107" s="1181"/>
      <c r="F107" s="1181"/>
      <c r="G107" s="1181"/>
    </row>
    <row r="108" spans="1:7" ht="21.75" customHeight="1">
      <c r="A108" s="1181"/>
      <c r="B108" s="1181"/>
      <c r="C108" s="1181"/>
      <c r="D108" s="1181"/>
      <c r="E108" s="1181"/>
      <c r="F108" s="1181"/>
      <c r="G108" s="1181"/>
    </row>
    <row r="109" spans="1:7" ht="19.5">
      <c r="F109" s="48"/>
      <c r="G109" s="48"/>
    </row>
    <row r="110" spans="1:7" ht="30" customHeight="1">
      <c r="A110" s="1179" t="s">
        <v>700</v>
      </c>
      <c r="B110" s="1179"/>
      <c r="C110" s="1179"/>
      <c r="D110" s="1179"/>
      <c r="E110" s="1179"/>
      <c r="F110" s="1179"/>
      <c r="G110" s="1179"/>
    </row>
    <row r="111" spans="1:7" ht="30" customHeight="1">
      <c r="A111" s="1179"/>
      <c r="B111" s="1179"/>
      <c r="C111" s="1179"/>
      <c r="D111" s="1179"/>
      <c r="E111" s="1179"/>
      <c r="F111" s="1179"/>
      <c r="G111" s="1179"/>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1" type="noConversion"/>
  <pageMargins left="0.82" right="1.28" top="0.67" bottom="0.56000000000000005" header="0.75" footer="0.28000000000000003"/>
  <pageSetup scale="31" orientation="portrait" r:id="rId1"/>
  <headerFooter alignWithMargins="0">
    <oddHeader>&amp;R&amp;"Arial,Bold"Formula Rate 
&amp;A
Page &amp;P of &amp;N</oddHeader>
  </headerFooter>
  <colBreaks count="1" manualBreakCount="1">
    <brk id="5" max="1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28"/>
  <sheetViews>
    <sheetView view="pageBreakPreview" zoomScale="60" zoomScaleNormal="100" workbookViewId="0">
      <selection activeCell="E14" sqref="E14"/>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12" t="s">
        <v>414</v>
      </c>
    </row>
    <row r="2" spans="1:13" ht="15.75">
      <c r="A2" s="712" t="s">
        <v>414</v>
      </c>
    </row>
    <row r="3" spans="1:13" ht="18">
      <c r="A3" s="1184" t="str">
        <f>TCOS!$F$5</f>
        <v>AEPTCo subsidiaries in PJM</v>
      </c>
      <c r="B3" s="1184" t="str">
        <f>TCOS!$F$5</f>
        <v>AEPTCo subsidiaries in PJM</v>
      </c>
      <c r="C3" s="1184" t="str">
        <f>TCOS!$F$5</f>
        <v>AEPTCo subsidiaries in PJM</v>
      </c>
      <c r="D3" s="1184" t="str">
        <f>TCOS!$F$5</f>
        <v>AEPTCo subsidiaries in PJM</v>
      </c>
      <c r="E3" s="1184" t="str">
        <f>TCOS!$F$5</f>
        <v>AEPTCo subsidiaries in PJM</v>
      </c>
      <c r="F3" s="1184" t="str">
        <f>TCOS!$F$5</f>
        <v>AEPTCo subsidiaries in PJM</v>
      </c>
      <c r="G3" s="1184" t="str">
        <f>TCOS!$F$5</f>
        <v>AEPTCo subsidiaries in PJM</v>
      </c>
      <c r="H3" s="1184" t="str">
        <f>TCOS!$F$5</f>
        <v>AEPTCo subsidiaries in PJM</v>
      </c>
      <c r="I3" s="1184" t="str">
        <f>TCOS!$F$5</f>
        <v>AEPTCo subsidiaries in PJM</v>
      </c>
      <c r="J3" s="1184" t="str">
        <f>TCOS!$F$5</f>
        <v>AEPTCo subsidiaries in PJM</v>
      </c>
      <c r="K3" s="64"/>
      <c r="L3" s="64"/>
      <c r="M3" s="64"/>
    </row>
    <row r="4" spans="1:13" ht="18">
      <c r="A4" s="1183" t="str">
        <f>"Cost of Service Formula Rate Using Actual/Projected FF1 Balances"</f>
        <v>Cost of Service Formula Rate Using Actual/Projected FF1 Balances</v>
      </c>
      <c r="B4" s="1183"/>
      <c r="C4" s="1183"/>
      <c r="D4" s="1183"/>
      <c r="E4" s="1183"/>
      <c r="F4" s="1183"/>
      <c r="G4" s="1183"/>
      <c r="H4" s="1183"/>
      <c r="I4" s="1183"/>
      <c r="J4" s="1183"/>
      <c r="K4" s="44"/>
      <c r="L4" s="44"/>
      <c r="M4" s="44"/>
    </row>
    <row r="5" spans="1:13" ht="18">
      <c r="A5" s="1183" t="s">
        <v>595</v>
      </c>
      <c r="B5" s="1183"/>
      <c r="C5" s="1183"/>
      <c r="D5" s="1183"/>
      <c r="E5" s="1183"/>
      <c r="F5" s="1183"/>
      <c r="G5" s="1183"/>
      <c r="H5" s="1183"/>
      <c r="I5" s="1183"/>
      <c r="J5" s="1183"/>
      <c r="K5" s="65"/>
      <c r="L5" s="65"/>
      <c r="M5" s="65"/>
    </row>
    <row r="6" spans="1:13" ht="18">
      <c r="A6" s="1176" t="str">
        <f>+TCOS!F9</f>
        <v>AEP Indiana Michigan Transmission Company</v>
      </c>
      <c r="B6" s="1176"/>
      <c r="C6" s="1176"/>
      <c r="D6" s="1176"/>
      <c r="E6" s="1176"/>
      <c r="F6" s="1176"/>
      <c r="G6" s="1176"/>
      <c r="H6" s="1176"/>
      <c r="I6" s="1176"/>
      <c r="J6" s="1176"/>
      <c r="K6" s="67"/>
      <c r="L6" s="67"/>
      <c r="M6" s="67"/>
    </row>
    <row r="7" spans="1:13">
      <c r="H7" s="68"/>
    </row>
    <row r="8" spans="1:13" ht="15.75">
      <c r="D8" s="119" t="s">
        <v>562</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Q1426"/>
  <sheetViews>
    <sheetView view="pageBreakPreview" zoomScale="70" zoomScaleNormal="70" zoomScaleSheetLayoutView="70" workbookViewId="0">
      <selection activeCell="E14" sqref="E14"/>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30"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712" t="s">
        <v>414</v>
      </c>
    </row>
    <row r="2" spans="1:16" ht="15.75">
      <c r="A2" s="712" t="s">
        <v>414</v>
      </c>
    </row>
    <row r="3" spans="1:16"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139" t="str">
        <f>TCOS!$F$5</f>
        <v>AEPTCo subsidiaries in PJM</v>
      </c>
      <c r="K3" s="1139" t="str">
        <f>TCOS!$F$5</f>
        <v>AEPTCo subsidiaries in PJM</v>
      </c>
      <c r="L3" s="1139" t="str">
        <f>TCOS!$F$5</f>
        <v>AEPTCo subsidiaries in PJM</v>
      </c>
      <c r="M3" s="1139" t="str">
        <f>TCOS!$F$5</f>
        <v>AEPTCo subsidiaries in PJM</v>
      </c>
      <c r="N3" s="1139" t="str">
        <f>TCOS!$F$5</f>
        <v>AEPTCo subsidiaries in PJM</v>
      </c>
      <c r="O3" s="1139" t="str">
        <f>TCOS!$F$5</f>
        <v>AEPTCo subsidiaries in PJM</v>
      </c>
    </row>
    <row r="4" spans="1:16" ht="15">
      <c r="A4" s="1140" t="str">
        <f>"Cost of Service Formula Rate Using Actual/Projected FF1 Balances"</f>
        <v>Cost of Service Formula Rate Using Actual/Projected FF1 Balances</v>
      </c>
      <c r="B4" s="1140"/>
      <c r="C4" s="1140"/>
      <c r="D4" s="1140"/>
      <c r="E4" s="1140"/>
      <c r="F4" s="1140"/>
      <c r="G4" s="1140"/>
      <c r="H4" s="1140"/>
      <c r="I4" s="1140"/>
      <c r="J4" s="1140"/>
      <c r="K4" s="1140"/>
      <c r="L4" s="1140"/>
      <c r="M4" s="1140"/>
      <c r="N4" s="1140"/>
      <c r="O4" s="1140"/>
    </row>
    <row r="5" spans="1:16" ht="15">
      <c r="A5" s="1140" t="s">
        <v>264</v>
      </c>
      <c r="B5" s="1140"/>
      <c r="C5" s="1140"/>
      <c r="D5" s="1140"/>
      <c r="E5" s="1140"/>
      <c r="F5" s="1140"/>
      <c r="G5" s="1140"/>
      <c r="H5" s="1140"/>
      <c r="I5" s="1140"/>
      <c r="J5" s="1140"/>
      <c r="K5" s="1140"/>
      <c r="L5" s="1140"/>
      <c r="M5" s="1140"/>
      <c r="N5" s="1140"/>
      <c r="O5" s="1140"/>
    </row>
    <row r="6" spans="1:16" ht="15">
      <c r="A6" s="1151" t="str">
        <f>TCOS!F9</f>
        <v>AEP Indiana Michigan Transmission Company</v>
      </c>
      <c r="B6" s="1151"/>
      <c r="C6" s="1151"/>
      <c r="D6" s="1151"/>
      <c r="E6" s="1151"/>
      <c r="F6" s="1151"/>
      <c r="G6" s="1151"/>
      <c r="H6" s="1151"/>
      <c r="I6" s="1151"/>
      <c r="J6" s="1151"/>
      <c r="K6" s="1151"/>
      <c r="L6" s="1151"/>
      <c r="M6" s="1151"/>
      <c r="N6" s="1151"/>
      <c r="O6" s="1151"/>
    </row>
    <row r="8" spans="1:16" ht="20.25">
      <c r="A8" s="436"/>
      <c r="N8" s="387" t="str">
        <f>"Page "&amp;P8&amp;" of "</f>
        <v xml:space="preserve">Page 1 of </v>
      </c>
      <c r="O8" s="437">
        <f>COUNT(P$8:P$56562)</f>
        <v>12</v>
      </c>
      <c r="P8" s="387">
        <v>1</v>
      </c>
    </row>
    <row r="9" spans="1:16" ht="18">
      <c r="C9" s="6"/>
    </row>
    <row r="11" spans="1:16" ht="18">
      <c r="B11" s="438" t="s">
        <v>469</v>
      </c>
      <c r="C11" s="1187" t="str">
        <f>"Calculate Return and Income Taxes with "&amp;F17&amp;" basis point ROE increase for Projects Qualified for Regional Billing."</f>
        <v>Calculate Return and Income Taxes with 0 basis point ROE increase for Projects Qualified for Regional Billing.</v>
      </c>
      <c r="D11" s="1188"/>
      <c r="E11" s="1188"/>
      <c r="F11" s="1188"/>
      <c r="G11" s="1188"/>
      <c r="H11" s="1188"/>
    </row>
    <row r="12" spans="1:16" ht="18.75" customHeight="1">
      <c r="C12" s="1188"/>
      <c r="D12" s="1188"/>
      <c r="E12" s="1188"/>
      <c r="F12" s="1188"/>
      <c r="G12" s="1188"/>
      <c r="H12" s="1188"/>
    </row>
    <row r="13" spans="1:16" ht="15.75" customHeight="1">
      <c r="C13" s="439"/>
      <c r="D13" s="439"/>
      <c r="E13" s="439"/>
      <c r="F13" s="439"/>
      <c r="G13" s="439"/>
      <c r="H13" s="439"/>
    </row>
    <row r="14" spans="1:16" ht="15.75">
      <c r="C14" s="440" t="str">
        <f>"A.   Determine 'R' with hypothetical "&amp;F17&amp;" basis point increase in ROE for Identified Projects"</f>
        <v>A.   Determine 'R' with hypothetical 0 basis point increase in ROE for Identified Projects</v>
      </c>
    </row>
    <row r="16" spans="1:16">
      <c r="C16" s="441" t="str">
        <f>"   ROE w/o incentives  (TCOS, ln "&amp;TCOS!B251&amp;")"</f>
        <v xml:space="preserve">   ROE w/o incentives  (TCOS, ln 138)</v>
      </c>
      <c r="E16" s="442"/>
      <c r="F16" s="443">
        <f>TCOS!J251</f>
        <v>0.10349999999999999</v>
      </c>
      <c r="G16" s="442"/>
      <c r="H16" s="444"/>
      <c r="I16" s="444"/>
      <c r="J16" s="444"/>
      <c r="K16" s="444"/>
      <c r="L16" s="444"/>
      <c r="M16" s="444"/>
      <c r="N16" s="444"/>
      <c r="O16" s="444"/>
      <c r="P16" s="444"/>
    </row>
    <row r="17" spans="3:16">
      <c r="C17" s="441" t="s">
        <v>50</v>
      </c>
      <c r="E17" s="442"/>
      <c r="F17" s="554">
        <v>0</v>
      </c>
      <c r="G17" s="442"/>
      <c r="H17" s="444"/>
      <c r="I17" s="444"/>
      <c r="J17" s="444"/>
    </row>
    <row r="18" spans="3:16">
      <c r="C18" s="441" t="str">
        <f>"   ROE with additional "&amp;F17&amp;" basis point incentive"</f>
        <v xml:space="preserve">   ROE with additional 0 basis point incentive</v>
      </c>
      <c r="D18" s="442"/>
      <c r="E18" s="442"/>
      <c r="F18" s="445">
        <f>IF((F16+(F17/10000)&gt;0.1274),"ERROR",F16+(F17/10000))</f>
        <v>0.10349999999999999</v>
      </c>
      <c r="G18" s="446"/>
      <c r="H18" s="444"/>
      <c r="I18" s="444"/>
      <c r="J18" s="444"/>
    </row>
    <row r="19" spans="3:16">
      <c r="C19" s="441"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42"/>
      <c r="F19" s="447"/>
      <c r="G19" s="442"/>
      <c r="H19" s="444"/>
      <c r="I19" s="444"/>
      <c r="J19" s="444"/>
    </row>
    <row r="20" spans="3:16">
      <c r="C20" s="444"/>
      <c r="D20" s="448" t="s">
        <v>444</v>
      </c>
      <c r="E20" s="448" t="s">
        <v>443</v>
      </c>
      <c r="F20" s="449" t="s">
        <v>51</v>
      </c>
      <c r="G20" s="442"/>
      <c r="H20" s="444"/>
      <c r="I20" s="444"/>
      <c r="J20" s="444"/>
    </row>
    <row r="21" spans="3:16" ht="13.5" thickBot="1">
      <c r="C21" s="450" t="s">
        <v>56</v>
      </c>
      <c r="D21" s="451">
        <f>TCOS!H249</f>
        <v>0.44978206390412179</v>
      </c>
      <c r="E21" s="451">
        <f>TCOS!J249</f>
        <v>4.2743856477088657E-2</v>
      </c>
      <c r="F21" s="452">
        <f>E21*D21</f>
        <v>1.9225419985486502E-2</v>
      </c>
      <c r="G21" s="442"/>
      <c r="H21" s="444"/>
      <c r="I21" s="453"/>
      <c r="J21" s="453"/>
      <c r="K21" s="98"/>
      <c r="L21" s="98"/>
      <c r="M21" s="98"/>
      <c r="N21" s="98"/>
      <c r="O21" s="98"/>
    </row>
    <row r="22" spans="3:16">
      <c r="C22" s="450" t="s">
        <v>57</v>
      </c>
      <c r="D22" s="451">
        <f>TCOS!H250</f>
        <v>0</v>
      </c>
      <c r="E22" s="451">
        <f>TCOS!J250</f>
        <v>0</v>
      </c>
      <c r="F22" s="452">
        <f>E22*D22</f>
        <v>0</v>
      </c>
      <c r="G22" s="454"/>
      <c r="H22" s="454"/>
      <c r="I22" s="455"/>
      <c r="J22" s="455"/>
      <c r="K22" s="1190" t="s">
        <v>239</v>
      </c>
      <c r="L22" s="1191"/>
      <c r="M22" s="1191"/>
      <c r="N22" s="1191"/>
      <c r="O22" s="1192"/>
      <c r="P22" s="455"/>
    </row>
    <row r="23" spans="3:16">
      <c r="C23" s="450" t="s">
        <v>29</v>
      </c>
      <c r="D23" s="451">
        <f>TCOS!H251</f>
        <v>0.55021793609587832</v>
      </c>
      <c r="E23" s="451">
        <f>+F18</f>
        <v>0.10349999999999999</v>
      </c>
      <c r="F23" s="456">
        <f>E23*D23</f>
        <v>5.6947556385923401E-2</v>
      </c>
      <c r="G23" s="454"/>
      <c r="H23" s="454"/>
      <c r="I23" s="455"/>
      <c r="J23" s="455"/>
      <c r="K23" s="1193"/>
      <c r="L23" s="1194"/>
      <c r="M23" s="1194"/>
      <c r="N23" s="1194"/>
      <c r="O23" s="1195"/>
      <c r="P23" s="455"/>
    </row>
    <row r="24" spans="3:16">
      <c r="C24" s="441"/>
      <c r="D24"/>
      <c r="E24" s="457" t="s">
        <v>58</v>
      </c>
      <c r="F24" s="452">
        <f>SUM(F21:F23)</f>
        <v>7.6172976371409906E-2</v>
      </c>
      <c r="G24" s="454"/>
      <c r="H24" s="454"/>
      <c r="I24" s="455"/>
      <c r="J24" s="455"/>
      <c r="K24" s="458"/>
      <c r="L24" s="459"/>
      <c r="M24" s="460" t="s">
        <v>52</v>
      </c>
      <c r="N24" s="460" t="s">
        <v>53</v>
      </c>
      <c r="O24" s="461" t="s">
        <v>55</v>
      </c>
      <c r="P24" s="455"/>
    </row>
    <row r="25" spans="3:16">
      <c r="C25" s="3"/>
      <c r="D25" s="462"/>
      <c r="E25" s="462"/>
      <c r="F25" s="454"/>
      <c r="G25" s="454"/>
      <c r="H25" s="454"/>
      <c r="I25" s="454"/>
      <c r="J25" s="454"/>
      <c r="K25" s="463"/>
      <c r="L25" s="98"/>
      <c r="M25" s="98"/>
      <c r="N25" s="98"/>
      <c r="O25" s="464"/>
      <c r="P25" s="454"/>
    </row>
    <row r="26" spans="3:16" ht="16.5" thickBot="1">
      <c r="C26" s="440" t="str">
        <f>"B.   Determine Return using 'R' with hypothetical "&amp;F17&amp;" basis point ROE increase for Identified Projects."</f>
        <v>B.   Determine Return using 'R' with hypothetical 0 basis point ROE increase for Identified Projects.</v>
      </c>
      <c r="D26" s="462"/>
      <c r="E26" s="462"/>
      <c r="F26" s="454"/>
      <c r="G26" s="454"/>
      <c r="H26" s="442"/>
      <c r="I26" s="454"/>
      <c r="J26" s="454"/>
      <c r="K26" s="465" t="s">
        <v>59</v>
      </c>
      <c r="L26" s="466">
        <f>+TCOS!L4</f>
        <v>2026</v>
      </c>
      <c r="M26" s="666">
        <f>N88+N178+N267+N356+N446+N535+N624+N713+N802+N893+N984+N1074+N1164+N1254+N1344</f>
        <v>47085000.845832519</v>
      </c>
      <c r="N26" s="666">
        <f>N89+N179+N268+N357+N447+N536+N625+N714+N803+N894+N985+N1075+N1165+N1255+N1345</f>
        <v>47085000.845832519</v>
      </c>
      <c r="O26" s="467">
        <f>+N26-M26</f>
        <v>0</v>
      </c>
      <c r="P26" s="454"/>
    </row>
    <row r="27" spans="3:16">
      <c r="C27" s="444"/>
      <c r="D27" s="462"/>
      <c r="E27" s="462"/>
      <c r="F27" s="454"/>
      <c r="G27" s="454"/>
      <c r="H27" s="454"/>
      <c r="I27" s="454"/>
      <c r="J27" s="454"/>
      <c r="K27" s="468"/>
      <c r="L27" s="468"/>
      <c r="M27" s="469"/>
      <c r="N27" s="468"/>
      <c r="O27" s="468"/>
      <c r="P27" s="454"/>
    </row>
    <row r="28" spans="3:16">
      <c r="C28" s="441" t="str">
        <f>"   Rate Base  (TCOS, ln "&amp;TCOS!B118&amp;")"</f>
        <v xml:space="preserve">   Rate Base  (TCOS, ln 58)</v>
      </c>
      <c r="D28" s="442"/>
      <c r="F28" s="470">
        <f>TCOS!L118</f>
        <v>3486271234.7115412</v>
      </c>
      <c r="G28" s="454"/>
      <c r="H28" s="454"/>
      <c r="I28" s="454"/>
      <c r="J28" s="454"/>
      <c r="K28" s="468"/>
      <c r="L28" s="468"/>
      <c r="M28" s="468"/>
      <c r="N28" s="468"/>
      <c r="O28" s="471"/>
      <c r="P28" s="454"/>
    </row>
    <row r="29" spans="3:16">
      <c r="C29" s="444" t="s">
        <v>284</v>
      </c>
      <c r="D29" s="472"/>
      <c r="F29" s="452">
        <f>F24</f>
        <v>7.6172976371409906E-2</v>
      </c>
      <c r="G29" s="454"/>
      <c r="H29" s="454"/>
      <c r="I29" s="454"/>
      <c r="J29" s="454"/>
      <c r="K29" s="454"/>
      <c r="L29" s="454"/>
      <c r="M29" s="454"/>
      <c r="N29" s="454"/>
      <c r="O29" s="454"/>
      <c r="P29" s="454"/>
    </row>
    <row r="30" spans="3:16">
      <c r="C30" s="473" t="s">
        <v>61</v>
      </c>
      <c r="D30" s="473"/>
      <c r="F30" s="455">
        <f>F28*F29</f>
        <v>265559656.38600826</v>
      </c>
      <c r="G30" s="454"/>
      <c r="H30" s="454"/>
      <c r="I30" s="455"/>
      <c r="J30" s="455"/>
      <c r="K30" s="455"/>
      <c r="L30" s="455"/>
      <c r="M30" s="455"/>
      <c r="N30" s="455"/>
      <c r="O30" s="454"/>
      <c r="P30" s="455"/>
    </row>
    <row r="31" spans="3:16">
      <c r="C31" s="473"/>
      <c r="D31" s="444"/>
      <c r="E31" s="444"/>
      <c r="F31" s="454"/>
      <c r="G31" s="454"/>
      <c r="H31" s="454"/>
      <c r="I31" s="455"/>
      <c r="J31" s="455"/>
      <c r="K31" s="455"/>
      <c r="L31" s="455"/>
      <c r="M31" s="455"/>
      <c r="N31" s="455"/>
      <c r="O31" s="454"/>
      <c r="P31" s="455"/>
    </row>
    <row r="32" spans="3:16" ht="15.75">
      <c r="C32" s="440" t="str">
        <f>"C.   Determine Income Taxes using Return with hypothetical "&amp;F17&amp;" basis point ROE increase for Identified Projects."</f>
        <v>C.   Determine Income Taxes using Return with hypothetical 0 basis point ROE increase for Identified Projects.</v>
      </c>
      <c r="D32" s="474"/>
      <c r="E32" s="474"/>
      <c r="F32" s="475"/>
      <c r="G32" s="475"/>
      <c r="H32" s="475"/>
      <c r="I32" s="476"/>
      <c r="J32" s="476"/>
      <c r="K32" s="476"/>
      <c r="L32" s="476"/>
      <c r="M32" s="476"/>
      <c r="N32" s="476"/>
      <c r="O32" s="475"/>
      <c r="P32" s="476"/>
    </row>
    <row r="33" spans="2:16">
      <c r="C33" s="441"/>
      <c r="D33" s="444"/>
      <c r="E33" s="444"/>
      <c r="F33" s="454"/>
      <c r="G33" s="454"/>
      <c r="H33" s="454"/>
      <c r="I33" s="455"/>
      <c r="J33" s="455"/>
      <c r="K33" s="455"/>
      <c r="L33" s="455"/>
      <c r="M33" s="455"/>
      <c r="N33" s="455"/>
      <c r="O33" s="454"/>
      <c r="P33" s="455"/>
    </row>
    <row r="34" spans="2:16">
      <c r="C34" s="444" t="s">
        <v>62</v>
      </c>
      <c r="D34" s="457"/>
      <c r="F34" s="477">
        <f>F30</f>
        <v>265559656.38600826</v>
      </c>
      <c r="G34" s="454"/>
      <c r="H34" s="454"/>
      <c r="I34" s="454"/>
      <c r="J34" s="454"/>
      <c r="K34" s="454"/>
      <c r="L34" s="454"/>
      <c r="M34" s="454"/>
      <c r="N34" s="454"/>
      <c r="O34" s="454"/>
      <c r="P34" s="454"/>
    </row>
    <row r="35" spans="2:16">
      <c r="C35" s="441" t="str">
        <f>"   Effective Tax Rate  (TCOS, ln "&amp;TCOS!B178&amp;")"</f>
        <v xml:space="preserve">   Effective Tax Rate  (TCOS, ln 97)</v>
      </c>
      <c r="D35" s="47"/>
      <c r="F35" s="478">
        <f>TCOS!G178</f>
        <v>0.24828744721903251</v>
      </c>
      <c r="G35" s="3"/>
      <c r="H35" s="479"/>
      <c r="I35" s="3"/>
      <c r="J35" s="3"/>
      <c r="K35" s="3"/>
      <c r="L35" s="3"/>
      <c r="M35" s="3"/>
      <c r="N35" s="3"/>
      <c r="O35" s="3"/>
      <c r="P35" s="3"/>
    </row>
    <row r="36" spans="2:16">
      <c r="C36" s="473" t="s">
        <v>63</v>
      </c>
      <c r="D36" s="47"/>
      <c r="F36" s="480">
        <f>F34*F35</f>
        <v>65935129.168445438</v>
      </c>
      <c r="G36" s="3"/>
      <c r="H36" s="479"/>
      <c r="I36" s="3"/>
      <c r="J36" s="3"/>
      <c r="K36" s="3"/>
      <c r="L36" s="3"/>
      <c r="M36" s="3"/>
      <c r="N36" s="3"/>
      <c r="O36" s="3"/>
      <c r="P36" s="3"/>
    </row>
    <row r="37" spans="2:16" ht="15">
      <c r="C37" s="441" t="s">
        <v>105</v>
      </c>
      <c r="D37" s="131"/>
      <c r="F37" s="454">
        <f>TCOS!L186</f>
        <v>0</v>
      </c>
      <c r="G37" s="131"/>
      <c r="H37" s="131"/>
      <c r="I37" s="131"/>
      <c r="J37" s="131"/>
      <c r="K37" s="131"/>
      <c r="L37" s="131"/>
      <c r="M37" s="131"/>
      <c r="N37" s="131"/>
      <c r="O37" s="145"/>
      <c r="P37" s="131"/>
    </row>
    <row r="38" spans="2:16" ht="15">
      <c r="C38" s="441" t="s">
        <v>558</v>
      </c>
      <c r="D38" s="131"/>
      <c r="F38" s="454">
        <f>TCOS!L187</f>
        <v>1571958.4586509578</v>
      </c>
      <c r="G38" s="131"/>
      <c r="H38" s="131"/>
      <c r="I38" s="131"/>
      <c r="J38" s="131"/>
      <c r="K38" s="131"/>
      <c r="L38" s="131"/>
      <c r="M38" s="131"/>
      <c r="N38" s="131"/>
      <c r="O38" s="145"/>
      <c r="P38" s="131"/>
    </row>
    <row r="39" spans="2:16" ht="15.75" thickBot="1">
      <c r="C39" s="441" t="s">
        <v>560</v>
      </c>
      <c r="D39" s="131"/>
      <c r="F39" s="481">
        <f>TCOS!L188</f>
        <v>1082472.229580485</v>
      </c>
      <c r="G39" s="131"/>
      <c r="H39" s="131"/>
      <c r="I39" s="131"/>
      <c r="J39" s="131"/>
      <c r="K39" s="131"/>
      <c r="L39" s="131"/>
      <c r="M39" s="131"/>
      <c r="N39" s="131"/>
      <c r="O39" s="145"/>
      <c r="P39" s="131"/>
    </row>
    <row r="40" spans="2:16" ht="15">
      <c r="C40" s="473" t="s">
        <v>64</v>
      </c>
      <c r="D40" s="131"/>
      <c r="F40" s="454">
        <f>F36+F37+F38+F39</f>
        <v>68589559.856676891</v>
      </c>
      <c r="G40" s="233"/>
      <c r="H40" s="131"/>
      <c r="I40" s="131"/>
      <c r="J40" s="131"/>
      <c r="K40" s="131"/>
      <c r="L40" s="131"/>
      <c r="M40" s="131"/>
      <c r="N40" s="131"/>
      <c r="O40" s="144"/>
      <c r="P40" s="131"/>
    </row>
    <row r="41" spans="2:16" ht="12.75" customHeight="1">
      <c r="C41" s="128"/>
      <c r="D41" s="131"/>
      <c r="E41" s="131"/>
      <c r="F41" s="131"/>
      <c r="G41" s="131"/>
      <c r="H41" s="131"/>
      <c r="I41" s="131"/>
      <c r="J41" s="131"/>
      <c r="K41" s="131"/>
      <c r="L41" s="131"/>
      <c r="M41" s="131"/>
      <c r="N41" s="131"/>
      <c r="O41" s="144"/>
      <c r="P41" s="131"/>
    </row>
    <row r="42" spans="2:16" ht="18.75">
      <c r="B42" s="438" t="s">
        <v>470</v>
      </c>
      <c r="C42" s="6" t="str">
        <f>"Calculate Net Plant Carrying Charge Rate (Fixed Charge Rate or FCR) with hypothetical "&amp;F17&amp;""</f>
        <v>Calculate Net Plant Carrying Charge Rate (Fixed Charge Rate or FCR) with hypothetical 0</v>
      </c>
      <c r="D42" s="131"/>
      <c r="E42" s="131"/>
      <c r="F42" s="131"/>
      <c r="G42" s="131"/>
      <c r="H42" s="131"/>
      <c r="I42" s="131"/>
      <c r="J42" s="131"/>
      <c r="K42" s="131"/>
      <c r="L42" s="131"/>
      <c r="M42" s="131"/>
      <c r="N42" s="131"/>
      <c r="O42" s="144"/>
      <c r="P42" s="131"/>
    </row>
    <row r="43" spans="2:16" ht="18.75" customHeight="1">
      <c r="C43" s="6" t="str">
        <f>"basis point ROE increase."</f>
        <v>basis point ROE increase.</v>
      </c>
      <c r="D43" s="131"/>
      <c r="E43" s="131"/>
      <c r="F43" s="131"/>
      <c r="G43" s="131"/>
      <c r="H43" s="131"/>
      <c r="I43" s="131"/>
      <c r="J43" s="131"/>
      <c r="K43" s="131"/>
      <c r="L43" s="131"/>
      <c r="M43" s="131"/>
      <c r="N43" s="131"/>
      <c r="O43" s="144"/>
      <c r="P43" s="131"/>
    </row>
    <row r="44" spans="2:16" ht="12.75" customHeight="1">
      <c r="C44" s="6"/>
      <c r="D44" s="131"/>
      <c r="E44" s="131"/>
      <c r="F44" s="131"/>
      <c r="G44" s="131"/>
      <c r="H44" s="131"/>
      <c r="I44" s="131"/>
      <c r="J44" s="131"/>
      <c r="K44" s="131"/>
      <c r="L44" s="131"/>
      <c r="M44" s="131"/>
      <c r="N44" s="131"/>
      <c r="O44" s="144"/>
      <c r="P44" s="131"/>
    </row>
    <row r="45" spans="2:16" ht="15.75">
      <c r="C45" s="440" t="s">
        <v>261</v>
      </c>
      <c r="D45" s="131"/>
      <c r="E45" s="131"/>
      <c r="F45" s="128"/>
      <c r="G45" s="131"/>
      <c r="H45" s="131"/>
      <c r="I45" s="131"/>
      <c r="J45" s="131"/>
      <c r="K45" s="131"/>
      <c r="L45" s="131"/>
      <c r="M45" s="131"/>
      <c r="N45" s="131"/>
      <c r="O45" s="144"/>
      <c r="P45" s="131"/>
    </row>
    <row r="46" spans="2:16">
      <c r="B46" s="3"/>
      <c r="C46" s="441"/>
      <c r="D46" s="442"/>
      <c r="E46" s="442"/>
      <c r="F46" s="442"/>
      <c r="G46" s="442"/>
      <c r="H46" s="442"/>
      <c r="I46" s="442"/>
      <c r="J46" s="442"/>
      <c r="K46" s="442"/>
      <c r="L46" s="442"/>
      <c r="M46" s="442"/>
      <c r="N46" s="442"/>
      <c r="O46" s="454"/>
      <c r="P46" s="442"/>
    </row>
    <row r="47" spans="2:16" ht="12.75" customHeight="1">
      <c r="B47" s="3"/>
      <c r="C47" s="441" t="str">
        <f>"   Annual Revenue Requirement  (TCOS, ln "&amp;TCOS!B13&amp;")"</f>
        <v xml:space="preserve">   Annual Revenue Requirement  (TCOS, ln 1)</v>
      </c>
      <c r="D47" s="442"/>
      <c r="E47" s="442"/>
      <c r="G47" s="454">
        <f>TCOS!L13</f>
        <v>553894297.17740774</v>
      </c>
      <c r="H47" s="669"/>
      <c r="I47" s="442"/>
      <c r="J47" s="442"/>
      <c r="K47" s="442"/>
      <c r="L47" s="442"/>
      <c r="M47" s="442"/>
      <c r="N47" s="442"/>
      <c r="O47" s="454"/>
      <c r="P47" s="442"/>
    </row>
    <row r="48" spans="2:16" ht="12.75" customHeight="1">
      <c r="B48" s="3"/>
      <c r="C48" s="441" t="str">
        <f>"   Lease Payments (TCOS, Ln "&amp;TCOS!B157&amp;")"</f>
        <v xml:space="preserve">   Lease Payments (TCOS, Ln 80)</v>
      </c>
      <c r="D48" s="442"/>
      <c r="E48" s="442"/>
      <c r="G48" s="454">
        <f>+TCOS!L157</f>
        <v>0</v>
      </c>
      <c r="H48" s="669"/>
      <c r="I48" s="442"/>
      <c r="J48" s="442"/>
      <c r="K48" s="442"/>
      <c r="L48" s="442"/>
      <c r="M48" s="442"/>
      <c r="N48" s="442"/>
      <c r="O48" s="454"/>
      <c r="P48" s="442"/>
    </row>
    <row r="49" spans="2:16">
      <c r="B49" s="3"/>
      <c r="C49" s="441" t="str">
        <f>"   Return  (TCOS, ln "&amp;TCOS!B191&amp;")"</f>
        <v xml:space="preserve">   Return  (TCOS, ln 109)</v>
      </c>
      <c r="D49" s="442"/>
      <c r="E49" s="442"/>
      <c r="G49" s="455">
        <f>TCOS!L191</f>
        <v>265513494.81947523</v>
      </c>
      <c r="H49" s="670"/>
      <c r="I49" s="442"/>
      <c r="J49" s="441"/>
      <c r="K49" s="441"/>
      <c r="L49" s="441"/>
      <c r="M49" s="441"/>
      <c r="N49" s="441"/>
      <c r="O49" s="454"/>
      <c r="P49" s="441"/>
    </row>
    <row r="50" spans="2:16">
      <c r="B50" s="3"/>
      <c r="C50" s="441" t="str">
        <f>"   Income Taxes  (TCOS, ln "&amp;TCOS!B189&amp;")"</f>
        <v xml:space="preserve">   Income Taxes  (TCOS, ln 108)</v>
      </c>
      <c r="D50" s="442"/>
      <c r="E50" s="442"/>
      <c r="G50" s="483">
        <f>F40</f>
        <v>68589559.856676891</v>
      </c>
      <c r="H50" s="669"/>
      <c r="I50" s="442"/>
      <c r="J50" s="484"/>
      <c r="K50" s="484"/>
      <c r="L50" s="484"/>
      <c r="M50" s="484"/>
      <c r="N50" s="484"/>
      <c r="O50" s="442"/>
      <c r="P50" s="484"/>
    </row>
    <row r="51" spans="2:16">
      <c r="B51" s="3"/>
      <c r="C51" s="3" t="s">
        <v>615</v>
      </c>
      <c r="D51" s="442"/>
      <c r="E51" s="442"/>
      <c r="G51" s="455">
        <f>G47-G49-G50-G48</f>
        <v>219791242.50125563</v>
      </c>
      <c r="H51" s="455"/>
      <c r="I51" s="442"/>
      <c r="J51" s="485"/>
      <c r="K51" s="485"/>
      <c r="L51" s="485"/>
      <c r="M51" s="485"/>
      <c r="N51" s="485"/>
      <c r="O51" s="485"/>
      <c r="P51" s="485"/>
    </row>
    <row r="52" spans="2:16">
      <c r="B52" s="3"/>
      <c r="C52" s="441"/>
      <c r="D52" s="442"/>
      <c r="E52" s="442"/>
      <c r="F52" s="454"/>
      <c r="G52" s="486"/>
      <c r="H52" s="487"/>
      <c r="I52" s="442"/>
      <c r="J52" s="487"/>
      <c r="K52" s="487"/>
      <c r="L52" s="487"/>
      <c r="M52" s="487"/>
      <c r="N52" s="487"/>
      <c r="O52" s="487"/>
      <c r="P52" s="487"/>
    </row>
    <row r="53" spans="2:16" ht="15.75">
      <c r="B53" s="3"/>
      <c r="C53" s="440" t="str">
        <f>"B.   Determine Annual Revenue Requirement with hypothetical "&amp;F17&amp;" basis point increase in ROE."</f>
        <v>B.   Determine Annual Revenue Requirement with hypothetical 0 basis point increase in ROE.</v>
      </c>
      <c r="D53" s="444"/>
      <c r="E53" s="444"/>
      <c r="F53" s="454"/>
      <c r="G53" s="486"/>
      <c r="H53" s="487"/>
      <c r="I53" s="487"/>
      <c r="J53" s="487"/>
      <c r="K53" s="487"/>
      <c r="L53" s="487"/>
      <c r="M53" s="487"/>
      <c r="N53" s="487"/>
      <c r="O53" s="487"/>
      <c r="P53" s="487"/>
    </row>
    <row r="54" spans="2:16">
      <c r="B54" s="3"/>
      <c r="C54" s="441"/>
      <c r="D54" s="444"/>
      <c r="E54" s="444"/>
      <c r="F54" s="454"/>
      <c r="G54" s="486"/>
      <c r="H54" s="487"/>
      <c r="I54" s="487"/>
      <c r="J54" s="487"/>
      <c r="K54" s="487"/>
      <c r="L54" s="487"/>
      <c r="M54" s="487"/>
      <c r="N54" s="487"/>
      <c r="O54" s="487"/>
      <c r="P54" s="487"/>
    </row>
    <row r="55" spans="2:16">
      <c r="B55" s="3"/>
      <c r="C55" s="441" t="str">
        <f>C51</f>
        <v xml:space="preserve">   Annual Revenue Requirement, Less Return and Taxes</v>
      </c>
      <c r="D55" s="444"/>
      <c r="E55" s="444"/>
      <c r="G55" s="454">
        <f>G51</f>
        <v>219791242.50125563</v>
      </c>
      <c r="H55" s="454"/>
      <c r="I55" s="442"/>
      <c r="J55" s="442"/>
      <c r="K55" s="442"/>
      <c r="L55" s="442"/>
      <c r="M55" s="442"/>
      <c r="N55" s="442"/>
      <c r="O55" s="488"/>
      <c r="P55" s="442"/>
    </row>
    <row r="56" spans="2:16">
      <c r="B56" s="3"/>
      <c r="C56" s="444" t="s">
        <v>102</v>
      </c>
      <c r="D56" s="47"/>
      <c r="E56" s="3"/>
      <c r="G56" s="480">
        <f>F30</f>
        <v>265559656.38600826</v>
      </c>
      <c r="H56" s="671"/>
      <c r="I56" s="442"/>
      <c r="J56" s="3"/>
      <c r="K56" s="3"/>
      <c r="L56" s="3"/>
      <c r="M56" s="3"/>
      <c r="N56" s="3"/>
      <c r="O56" s="3"/>
      <c r="P56" s="3"/>
    </row>
    <row r="57" spans="2:16" ht="12.75" customHeight="1">
      <c r="B57" s="3"/>
      <c r="C57" s="441" t="s">
        <v>70</v>
      </c>
      <c r="D57" s="442"/>
      <c r="E57" s="442"/>
      <c r="G57" s="483">
        <f>F40</f>
        <v>68589559.856676891</v>
      </c>
      <c r="H57" s="669"/>
      <c r="I57" s="442"/>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80">
        <f>SUM(G55:G57)</f>
        <v>553940458.74394083</v>
      </c>
      <c r="H58" s="671"/>
      <c r="I58" s="442"/>
      <c r="J58" s="3"/>
      <c r="K58" s="3"/>
      <c r="L58" s="3"/>
      <c r="M58" s="3"/>
      <c r="N58" s="3"/>
      <c r="O58" s="3"/>
      <c r="P58" s="3"/>
    </row>
    <row r="59" spans="2:16">
      <c r="B59" s="3"/>
      <c r="C59" s="441" t="str">
        <f>"   Depreciation &amp; Amortization (TCOS, ln "&amp;TCOS!B161&amp;")"</f>
        <v xml:space="preserve">   Depreciation &amp; Amortization (TCOS, ln 83)</v>
      </c>
      <c r="D59" s="47"/>
      <c r="E59" s="3"/>
      <c r="G59" s="489">
        <f>TCOS!L161</f>
        <v>125288955.42490879</v>
      </c>
      <c r="H59" s="671"/>
      <c r="I59" s="442"/>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80">
        <f>G58-G59</f>
        <v>428651503.31903207</v>
      </c>
      <c r="H60" s="671"/>
      <c r="I60" s="442"/>
      <c r="J60" s="3"/>
      <c r="K60" s="3"/>
      <c r="L60" s="3"/>
      <c r="M60" s="3"/>
      <c r="N60" s="3"/>
      <c r="O60" s="3"/>
      <c r="P60" s="3"/>
    </row>
    <row r="61" spans="2:16">
      <c r="B61" s="3"/>
      <c r="C61" s="3"/>
      <c r="D61" s="47"/>
      <c r="E61" s="3"/>
      <c r="F61" s="3"/>
      <c r="G61" s="3"/>
      <c r="H61" s="672"/>
      <c r="I61" s="442"/>
      <c r="J61" s="3"/>
      <c r="K61" s="3"/>
      <c r="L61" s="3"/>
      <c r="M61" s="3"/>
      <c r="N61" s="3"/>
      <c r="O61" s="3"/>
      <c r="P61" s="3"/>
    </row>
    <row r="62" spans="2:16" ht="15.75">
      <c r="B62" s="3"/>
      <c r="C62" s="440" t="str">
        <f>"C.   Determine FCR with hypothetical "&amp;F17&amp;" basis point ROE increase."</f>
        <v>C.   Determine FCR with hypothetical 0 basis point ROE increase.</v>
      </c>
      <c r="D62" s="47"/>
      <c r="E62" s="3"/>
      <c r="F62" s="3"/>
      <c r="G62" s="3"/>
      <c r="H62" s="672"/>
      <c r="I62" s="442"/>
      <c r="J62" s="3"/>
      <c r="K62" s="3"/>
      <c r="L62" s="3"/>
      <c r="M62" s="3"/>
      <c r="N62" s="3"/>
      <c r="O62" s="3"/>
      <c r="P62" s="3"/>
    </row>
    <row r="63" spans="2:16">
      <c r="B63" s="3"/>
      <c r="C63" s="3"/>
      <c r="D63" s="47"/>
      <c r="E63" s="3"/>
      <c r="F63" s="3"/>
      <c r="G63" s="3"/>
      <c r="H63" s="672"/>
      <c r="I63" s="442"/>
      <c r="J63" s="3"/>
      <c r="K63" s="3"/>
      <c r="L63" s="3"/>
      <c r="M63" s="3"/>
      <c r="N63" s="3"/>
      <c r="O63" s="3"/>
      <c r="P63" s="3"/>
    </row>
    <row r="64" spans="2:16">
      <c r="B64" s="3"/>
      <c r="C64" s="441" t="str">
        <f>"   Net Transmission Plant  (Projected TCOS, ln "&amp;TCOS!B83&amp;")"</f>
        <v xml:space="preserve">   Net Transmission Plant  (Projected TCOS, ln 33)</v>
      </c>
      <c r="D64" s="47"/>
      <c r="E64" s="3"/>
      <c r="G64" s="480">
        <f>TCOS!L83</f>
        <v>3829785329.5857449</v>
      </c>
      <c r="H64" s="671"/>
      <c r="I64" s="442"/>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80">
        <f>G58</f>
        <v>553940458.74394083</v>
      </c>
      <c r="H65" s="671"/>
      <c r="I65" s="442"/>
      <c r="J65" s="3"/>
      <c r="K65" s="3"/>
      <c r="L65" s="3"/>
      <c r="M65" s="3"/>
      <c r="N65" s="3"/>
      <c r="O65" s="3"/>
      <c r="P65" s="3"/>
    </row>
    <row r="66" spans="2:17">
      <c r="B66" s="3"/>
      <c r="C66" s="3" t="str">
        <f>"   FCR with "&amp;F17&amp;" Basis Point increase in ROE"</f>
        <v xml:space="preserve">   FCR with 0 Basis Point increase in ROE</v>
      </c>
      <c r="D66" s="47"/>
      <c r="E66" s="3"/>
      <c r="G66" s="478">
        <f>IF(G64=0,0,G65/G64)</f>
        <v>0.14464008059790096</v>
      </c>
      <c r="H66" s="673"/>
      <c r="I66" s="442"/>
      <c r="J66" s="3"/>
      <c r="K66" s="3"/>
      <c r="L66" s="3"/>
      <c r="M66" s="3"/>
      <c r="N66" s="3"/>
      <c r="O66" s="3"/>
      <c r="P66" s="3"/>
    </row>
    <row r="67" spans="2:17">
      <c r="B67" s="3"/>
      <c r="C67" s="41"/>
      <c r="D67" s="47"/>
      <c r="E67" s="3"/>
      <c r="G67" s="3"/>
      <c r="H67" s="279"/>
      <c r="I67" s="442"/>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80">
        <f>G60</f>
        <v>428651503.31903207</v>
      </c>
      <c r="H68" s="671"/>
      <c r="I68" s="442"/>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78">
        <f>IF(G64=0,0,G68/G64)</f>
        <v>0.11192572596892732</v>
      </c>
      <c r="H69" s="673"/>
      <c r="I69" s="490"/>
      <c r="J69" s="3"/>
      <c r="K69" s="3"/>
      <c r="L69" s="3"/>
      <c r="M69" s="3"/>
      <c r="N69" s="3"/>
      <c r="O69" s="3"/>
      <c r="P69" s="3"/>
    </row>
    <row r="70" spans="2:17">
      <c r="B70" s="3"/>
      <c r="C70" s="441" t="str">
        <f>"   FCR less Depreciation  (TCOS, ln "&amp;TCOS!B31&amp;")"</f>
        <v xml:space="preserve">   FCR less Depreciation  (TCOS, ln 10)</v>
      </c>
      <c r="D70" s="47"/>
      <c r="E70" s="3"/>
      <c r="G70" s="491">
        <f>TCOS!L31</f>
        <v>0.11191367266500543</v>
      </c>
      <c r="H70" s="674"/>
      <c r="I70" s="490"/>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78">
        <f>G69-G70</f>
        <v>1.2053303921885639E-5</v>
      </c>
      <c r="H71" s="673"/>
      <c r="I71" s="442"/>
      <c r="J71" s="3"/>
      <c r="K71" s="3"/>
      <c r="L71" s="3"/>
      <c r="M71" s="3"/>
      <c r="N71" s="3"/>
      <c r="O71" s="3"/>
      <c r="P71" s="3"/>
    </row>
    <row r="72" spans="2:17">
      <c r="B72" s="3"/>
      <c r="C72" s="3"/>
      <c r="D72" s="47"/>
      <c r="E72" s="3"/>
      <c r="F72" s="478"/>
      <c r="G72" s="3"/>
      <c r="H72" s="672"/>
      <c r="I72" s="3"/>
      <c r="J72" s="3"/>
      <c r="K72" s="3"/>
      <c r="L72" s="3"/>
      <c r="M72" s="3"/>
      <c r="N72" s="3"/>
      <c r="O72" s="3"/>
      <c r="P72" s="3"/>
    </row>
    <row r="73" spans="2:17" ht="18.75">
      <c r="B73" s="438" t="s">
        <v>471</v>
      </c>
      <c r="C73" s="6" t="s">
        <v>71</v>
      </c>
      <c r="D73" s="47"/>
      <c r="E73" s="3"/>
      <c r="F73" s="478"/>
      <c r="G73" s="3"/>
      <c r="H73" s="672"/>
      <c r="I73" s="3"/>
      <c r="J73" s="3"/>
      <c r="K73" s="3"/>
      <c r="L73" s="3"/>
      <c r="M73" s="3"/>
      <c r="N73" s="3"/>
      <c r="O73" s="3"/>
      <c r="P73" s="3"/>
    </row>
    <row r="74" spans="2:17">
      <c r="B74" s="3"/>
      <c r="C74" s="3"/>
      <c r="D74" s="47"/>
      <c r="E74" s="3"/>
      <c r="F74" s="478"/>
      <c r="G74" s="3"/>
      <c r="H74" s="672"/>
      <c r="I74" s="3"/>
      <c r="J74" s="3"/>
      <c r="K74" s="3"/>
      <c r="L74" s="3"/>
      <c r="M74" s="3"/>
      <c r="N74" s="3"/>
      <c r="O74" s="3"/>
      <c r="P74" s="3"/>
    </row>
    <row r="75" spans="2:17">
      <c r="B75" s="3"/>
      <c r="C75" s="3" t="str">
        <f>+"Average Transmission Plant Balance for "&amp;TCOS!L4&amp;" TCOS, ln "&amp;TCOS!B63</f>
        <v>Average Transmission Plant Balance for 2026 TCOS, ln 19</v>
      </c>
      <c r="D75" s="47"/>
      <c r="E75" s="3"/>
      <c r="F75" s="3"/>
      <c r="G75" s="332">
        <f>TCOS!L63</f>
        <v>4515957150.7208729</v>
      </c>
      <c r="I75" s="3"/>
      <c r="J75" s="3"/>
      <c r="K75" s="492"/>
      <c r="L75" s="3"/>
      <c r="M75" s="3"/>
      <c r="N75" s="3"/>
      <c r="O75" s="3"/>
      <c r="P75" s="3"/>
    </row>
    <row r="76" spans="2:17">
      <c r="B76" s="3"/>
      <c r="C76" s="3" t="str">
        <f>"Annual Depreciation and Amortization Expense (TCOS, ln "&amp;TCOS!B161&amp;")"</f>
        <v>Annual Depreciation and Amortization Expense (TCOS, ln 83)</v>
      </c>
      <c r="D76" s="47"/>
      <c r="E76" s="3"/>
      <c r="G76" s="332">
        <f>TCOS!L161</f>
        <v>125288955.42490879</v>
      </c>
      <c r="H76" s="479"/>
      <c r="I76" s="3"/>
      <c r="J76" s="3"/>
      <c r="K76" s="3"/>
      <c r="L76" s="3"/>
      <c r="M76" s="3"/>
      <c r="N76" s="3"/>
      <c r="O76" s="3"/>
      <c r="P76" s="3"/>
    </row>
    <row r="77" spans="2:17" ht="12.75" customHeight="1">
      <c r="B77" s="3"/>
      <c r="C77" s="3" t="s">
        <v>72</v>
      </c>
      <c r="D77" s="47"/>
      <c r="E77" s="3"/>
      <c r="G77" s="615">
        <f>G76/G75</f>
        <v>2.7743610322987493E-2</v>
      </c>
      <c r="H77" s="493"/>
      <c r="I77" s="1189"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Indiana Michigan Transmission Company establishes Transmission plant in service the depreciation expense component of the carrying charge will be calculated as in the Operating Company formula approved in Docket No. ER08-1329.  The calculation for AEP Indiana Michigan Transmission Company is shown on Worksheet P.</v>
      </c>
      <c r="J77" s="1189"/>
      <c r="K77" s="1189"/>
      <c r="L77" s="1189"/>
      <c r="M77" s="1189"/>
      <c r="N77" s="1189"/>
      <c r="O77" s="1189"/>
      <c r="P77" s="439"/>
      <c r="Q77" s="439"/>
    </row>
    <row r="78" spans="2:17">
      <c r="B78" s="3"/>
      <c r="C78" s="3" t="s">
        <v>73</v>
      </c>
      <c r="D78" s="47"/>
      <c r="E78" s="3"/>
      <c r="G78" s="494">
        <f>IF(G77=0,0,1/G77)</f>
        <v>36.044335555399257</v>
      </c>
      <c r="H78" s="479"/>
      <c r="I78" s="1189"/>
      <c r="J78" s="1189"/>
      <c r="K78" s="1189"/>
      <c r="L78" s="1189"/>
      <c r="M78" s="1189"/>
      <c r="N78" s="1189"/>
      <c r="O78" s="1189"/>
      <c r="P78" s="439"/>
      <c r="Q78" s="439"/>
    </row>
    <row r="79" spans="2:17">
      <c r="B79" s="3"/>
      <c r="C79" s="3" t="s">
        <v>596</v>
      </c>
      <c r="D79" s="47"/>
      <c r="E79" s="3"/>
      <c r="G79" s="495">
        <f>ROUND(G78,0)</f>
        <v>36</v>
      </c>
      <c r="H79" s="479"/>
      <c r="I79" s="1189"/>
      <c r="J79" s="1189"/>
      <c r="K79" s="1189"/>
      <c r="L79" s="1189"/>
      <c r="M79" s="1189"/>
      <c r="N79" s="1189"/>
      <c r="O79" s="1189"/>
      <c r="P79" s="439"/>
      <c r="Q79" s="439"/>
    </row>
    <row r="80" spans="2:17">
      <c r="B80" s="3"/>
      <c r="C80" s="3"/>
      <c r="D80" s="47"/>
      <c r="E80" s="3"/>
      <c r="G80" s="495"/>
      <c r="H80" s="479"/>
      <c r="I80" s="1189"/>
      <c r="J80" s="1189"/>
      <c r="K80" s="1189"/>
      <c r="L80" s="1189"/>
      <c r="M80" s="1189"/>
      <c r="N80" s="1189"/>
      <c r="O80" s="1189"/>
    </row>
    <row r="81" spans="1:16">
      <c r="C81" s="496"/>
      <c r="D81" s="495"/>
      <c r="E81" s="495"/>
      <c r="F81" s="495"/>
      <c r="G81" s="492"/>
      <c r="H81" s="492"/>
    </row>
    <row r="82" spans="1:16" ht="20.25">
      <c r="A82" s="436" t="str">
        <f>""&amp;A6&amp;" Worksheet J -  ATRR PROJECTED Calculation for PJM Projects Charged to Benefiting Zones"</f>
        <v>AEP Indiana Michigan Transmission Company Worksheet J -  ATRR PROJECTED Calculation for PJM Projects Charged to Benefiting Zones</v>
      </c>
      <c r="B82" s="3"/>
      <c r="C82" s="3"/>
      <c r="D82" s="47"/>
      <c r="E82" s="3"/>
      <c r="F82" s="478"/>
      <c r="G82" s="3"/>
      <c r="H82" s="479"/>
      <c r="K82" s="387"/>
      <c r="L82" s="387"/>
      <c r="M82" s="387"/>
      <c r="N82" s="387" t="str">
        <f>"Page "&amp;SUM(P$8:P82)&amp;" of "</f>
        <v xml:space="preserve">Page 2 of </v>
      </c>
      <c r="O82" s="437">
        <f>COUNT(P$8:P$56562)</f>
        <v>12</v>
      </c>
      <c r="P82" s="497">
        <v>1</v>
      </c>
    </row>
    <row r="83" spans="1:16">
      <c r="B83" s="3"/>
      <c r="C83" s="3"/>
      <c r="D83" s="47"/>
      <c r="E83" s="3"/>
      <c r="F83" s="3"/>
      <c r="G83" s="3"/>
      <c r="H83" s="479"/>
      <c r="I83" s="3"/>
      <c r="J83" s="3"/>
      <c r="K83" s="3"/>
      <c r="L83" s="3"/>
      <c r="M83" s="3"/>
      <c r="N83" s="3"/>
      <c r="O83" s="3"/>
      <c r="P83" s="3"/>
    </row>
    <row r="84" spans="1:16" ht="18">
      <c r="B84" s="438" t="s">
        <v>472</v>
      </c>
      <c r="C84" s="119" t="s">
        <v>93</v>
      </c>
      <c r="D84" s="47"/>
      <c r="E84" s="3"/>
      <c r="F84" s="3"/>
      <c r="G84" s="3"/>
      <c r="H84" s="479"/>
      <c r="I84" s="479"/>
      <c r="J84" s="492"/>
      <c r="K84" s="479"/>
      <c r="L84" s="479"/>
      <c r="M84" s="479"/>
      <c r="N84" s="479"/>
      <c r="O84" s="3"/>
    </row>
    <row r="85" spans="1:16" ht="18.75">
      <c r="B85" s="438"/>
      <c r="C85" s="6"/>
      <c r="D85" s="47"/>
      <c r="E85" s="3"/>
      <c r="F85" s="3"/>
      <c r="G85" s="3"/>
      <c r="H85" s="479"/>
      <c r="I85" s="479"/>
      <c r="J85" s="492"/>
      <c r="K85" s="479"/>
      <c r="L85" s="479"/>
      <c r="M85" s="479"/>
      <c r="N85" s="479"/>
      <c r="O85" s="3"/>
    </row>
    <row r="86" spans="1:16" ht="18.75">
      <c r="B86" s="438"/>
      <c r="C86" s="6" t="s">
        <v>94</v>
      </c>
      <c r="D86" s="47"/>
      <c r="E86" s="3"/>
      <c r="F86" s="3"/>
      <c r="G86" s="3"/>
      <c r="H86" s="479"/>
      <c r="I86" s="479"/>
      <c r="J86" s="492"/>
      <c r="K86" s="479"/>
      <c r="L86" s="479"/>
      <c r="M86" s="479"/>
      <c r="N86" s="479"/>
      <c r="O86" s="3"/>
    </row>
    <row r="87" spans="1:16" ht="15.75" thickBot="1">
      <c r="C87" s="128"/>
      <c r="D87" s="47"/>
      <c r="E87" s="3"/>
      <c r="F87" s="3"/>
      <c r="G87" s="3"/>
      <c r="H87" s="479"/>
      <c r="I87" s="479"/>
      <c r="J87" s="492"/>
      <c r="K87" s="479"/>
      <c r="L87" s="479"/>
      <c r="M87" s="479"/>
      <c r="N87" s="479"/>
      <c r="O87" s="3"/>
    </row>
    <row r="88" spans="1:16" ht="15.75">
      <c r="C88" s="440" t="s">
        <v>95</v>
      </c>
      <c r="D88" s="47"/>
      <c r="E88" s="3"/>
      <c r="F88" s="3"/>
      <c r="G88" s="555"/>
      <c r="H88" s="3" t="s">
        <v>74</v>
      </c>
      <c r="I88" s="3"/>
      <c r="J88" s="3"/>
      <c r="K88" s="498" t="s">
        <v>99</v>
      </c>
      <c r="L88" s="499"/>
      <c r="M88" s="500"/>
      <c r="N88" s="501">
        <f>IF(I94=0,0,VLOOKUP(I94,C101:O160,5))</f>
        <v>629885.15183159313</v>
      </c>
      <c r="O88" s="3"/>
    </row>
    <row r="89" spans="1:16" ht="15.75">
      <c r="C89" s="440"/>
      <c r="D89" s="47"/>
      <c r="E89" s="3"/>
      <c r="F89" s="3"/>
      <c r="G89" s="3"/>
      <c r="H89" s="502"/>
      <c r="I89" s="502"/>
      <c r="J89" s="503"/>
      <c r="K89" s="504" t="s">
        <v>100</v>
      </c>
      <c r="L89" s="505"/>
      <c r="M89" s="3"/>
      <c r="N89" s="506">
        <f>IF(I94=0,0,VLOOKUP(I94,C101:O160,6))</f>
        <v>629885.15183159313</v>
      </c>
      <c r="O89" s="3"/>
    </row>
    <row r="90" spans="1:16" ht="13.5" thickBot="1">
      <c r="C90" s="507" t="s">
        <v>96</v>
      </c>
      <c r="D90" s="934" t="s">
        <v>811</v>
      </c>
      <c r="E90" s="934"/>
      <c r="F90" s="934"/>
      <c r="G90" s="934"/>
      <c r="H90" s="934"/>
      <c r="I90" s="934"/>
      <c r="J90" s="492"/>
      <c r="K90" s="508" t="s">
        <v>238</v>
      </c>
      <c r="L90" s="509"/>
      <c r="M90" s="509"/>
      <c r="N90" s="510">
        <f>+N89-N88</f>
        <v>0</v>
      </c>
      <c r="O90" s="3"/>
    </row>
    <row r="91" spans="1:16">
      <c r="C91" s="511"/>
      <c r="D91" s="512"/>
      <c r="E91" s="495"/>
      <c r="F91" s="495"/>
      <c r="G91" s="513"/>
      <c r="H91" s="479"/>
      <c r="I91" s="479"/>
      <c r="J91" s="492"/>
      <c r="K91" s="479"/>
      <c r="L91" s="479"/>
      <c r="M91" s="479"/>
      <c r="N91" s="479"/>
      <c r="O91" s="3"/>
    </row>
    <row r="92" spans="1:16" ht="13.5" thickBot="1">
      <c r="C92" s="511"/>
      <c r="D92" s="3"/>
      <c r="E92" s="513"/>
      <c r="F92" s="513"/>
      <c r="G92" s="513"/>
      <c r="H92" s="513"/>
      <c r="I92" s="513"/>
      <c r="J92" s="513"/>
      <c r="K92" s="513"/>
      <c r="L92" s="513"/>
      <c r="M92" s="513"/>
      <c r="N92" s="513"/>
      <c r="O92" s="3"/>
    </row>
    <row r="93" spans="1:16" ht="13.5" thickBot="1">
      <c r="C93" s="514" t="s">
        <v>97</v>
      </c>
      <c r="D93" s="515"/>
      <c r="E93" s="515"/>
      <c r="F93" s="515"/>
      <c r="G93" s="515"/>
      <c r="H93" s="515"/>
      <c r="I93" s="516"/>
      <c r="K93" s="3"/>
      <c r="L93" s="3"/>
      <c r="M93" s="3"/>
      <c r="N93" s="3"/>
      <c r="O93" s="3"/>
    </row>
    <row r="94" spans="1:16" ht="15">
      <c r="C94" s="517" t="s">
        <v>75</v>
      </c>
      <c r="D94" s="557">
        <v>6445563.9500000002</v>
      </c>
      <c r="E94" s="3" t="s">
        <v>76</v>
      </c>
      <c r="G94" s="47"/>
      <c r="H94" s="47"/>
      <c r="I94" s="518">
        <f>$L$26</f>
        <v>2026</v>
      </c>
      <c r="J94" s="70"/>
      <c r="K94" s="1186" t="s">
        <v>247</v>
      </c>
      <c r="L94" s="1186"/>
      <c r="M94" s="1186"/>
      <c r="N94" s="1186"/>
      <c r="O94" s="1186"/>
    </row>
    <row r="95" spans="1:16">
      <c r="C95" s="517" t="s">
        <v>78</v>
      </c>
      <c r="D95" s="558">
        <v>2012</v>
      </c>
      <c r="E95" s="517" t="s">
        <v>79</v>
      </c>
      <c r="F95" s="47"/>
      <c r="H95"/>
      <c r="I95" s="559">
        <f>IF(G88="",0,$F$17)</f>
        <v>0</v>
      </c>
      <c r="J95" s="519"/>
      <c r="K95" s="492" t="s">
        <v>247</v>
      </c>
    </row>
    <row r="96" spans="1:16">
      <c r="C96" s="517" t="s">
        <v>80</v>
      </c>
      <c r="D96" s="557">
        <v>12</v>
      </c>
      <c r="E96" s="517" t="s">
        <v>81</v>
      </c>
      <c r="F96" s="47"/>
      <c r="H96"/>
      <c r="I96" s="520">
        <f>$G$70</f>
        <v>0.11191367266500543</v>
      </c>
      <c r="J96" s="478"/>
      <c r="K96" t="str">
        <f>"          INPUT PROJECTED ARR (WITH &amp; WITHOUT INCENTIVES) FROM EACH PRIOR YEAR"</f>
        <v xml:space="preserve">          INPUT PROJECTED ARR (WITH &amp; WITHOUT INCENTIVES) FROM EACH PRIOR YEAR</v>
      </c>
    </row>
    <row r="97" spans="2:15">
      <c r="C97" s="517" t="s">
        <v>82</v>
      </c>
      <c r="D97" s="521">
        <f>$G$79</f>
        <v>36</v>
      </c>
      <c r="E97" s="517" t="s">
        <v>83</v>
      </c>
      <c r="F97" s="47"/>
      <c r="H97"/>
      <c r="I97" s="520">
        <f>IF(G88="",I96,$G$69)</f>
        <v>0.11191367266500543</v>
      </c>
      <c r="J97" s="478"/>
      <c r="K97" t="s">
        <v>160</v>
      </c>
    </row>
    <row r="98" spans="2:15" ht="13.5" thickBot="1">
      <c r="C98" s="517" t="s">
        <v>84</v>
      </c>
      <c r="D98" s="556" t="s">
        <v>810</v>
      </c>
      <c r="E98" s="522" t="s">
        <v>85</v>
      </c>
      <c r="F98" s="523"/>
      <c r="G98" s="524"/>
      <c r="H98" s="524"/>
      <c r="I98" s="510">
        <f>IF(D94=0,0,D94/D97)</f>
        <v>179043.44305555557</v>
      </c>
      <c r="J98" s="492"/>
      <c r="K98" s="492" t="s">
        <v>166</v>
      </c>
      <c r="L98" s="492"/>
      <c r="M98" s="492"/>
      <c r="N98" s="492"/>
      <c r="O98" s="3"/>
    </row>
    <row r="99" spans="2:15" ht="51">
      <c r="B99" s="439"/>
      <c r="C99" s="525" t="s">
        <v>75</v>
      </c>
      <c r="D99" s="526" t="s">
        <v>86</v>
      </c>
      <c r="E99" s="527" t="s">
        <v>87</v>
      </c>
      <c r="F99" s="526" t="s">
        <v>88</v>
      </c>
      <c r="G99" s="527" t="s">
        <v>159</v>
      </c>
      <c r="H99" s="528" t="s">
        <v>159</v>
      </c>
      <c r="I99" s="525" t="s">
        <v>98</v>
      </c>
      <c r="J99" s="529"/>
      <c r="K99" s="527" t="s">
        <v>168</v>
      </c>
      <c r="L99" s="530"/>
      <c r="M99" s="527" t="s">
        <v>168</v>
      </c>
      <c r="N99" s="530"/>
      <c r="O99" s="530"/>
    </row>
    <row r="100" spans="2:15" ht="13.5" thickBot="1">
      <c r="C100" s="531" t="s">
        <v>475</v>
      </c>
      <c r="D100" s="532" t="s">
        <v>476</v>
      </c>
      <c r="E100" s="531" t="s">
        <v>369</v>
      </c>
      <c r="F100" s="532" t="s">
        <v>476</v>
      </c>
      <c r="G100" s="533" t="s">
        <v>101</v>
      </c>
      <c r="H100" s="534" t="s">
        <v>103</v>
      </c>
      <c r="I100" s="531" t="s">
        <v>15</v>
      </c>
      <c r="J100" s="535"/>
      <c r="K100" s="533" t="s">
        <v>90</v>
      </c>
      <c r="L100" s="536"/>
      <c r="M100" s="533" t="s">
        <v>103</v>
      </c>
      <c r="N100" s="536"/>
      <c r="O100" s="536"/>
    </row>
    <row r="101" spans="2:15">
      <c r="C101" s="537">
        <f>IF(D95= "","-",D95)</f>
        <v>2012</v>
      </c>
      <c r="D101" s="495">
        <f>+D94</f>
        <v>6445563.9500000002</v>
      </c>
      <c r="E101" s="538">
        <f>+I98/12*(12-D96)</f>
        <v>0</v>
      </c>
      <c r="F101" s="495">
        <f>+D101-E101</f>
        <v>6445563.9500000002</v>
      </c>
      <c r="G101" s="705">
        <f>+$I$96*((D101+F101)/2)+E101</f>
        <v>721346.73404165951</v>
      </c>
      <c r="H101" s="706">
        <f>$I$97*((D101+F101)/2)+E101</f>
        <v>721346.73404165951</v>
      </c>
      <c r="I101" s="541">
        <f>+H101-G101</f>
        <v>0</v>
      </c>
      <c r="J101" s="541"/>
      <c r="K101" s="560">
        <v>655786</v>
      </c>
      <c r="L101" s="542"/>
      <c r="M101" s="560">
        <v>655786</v>
      </c>
      <c r="N101" s="542"/>
      <c r="O101" s="542"/>
    </row>
    <row r="102" spans="2:15">
      <c r="C102" s="537">
        <f>IF(D95="","-",+C101+1)</f>
        <v>2013</v>
      </c>
      <c r="D102" s="495">
        <f t="shared" ref="D102:D160" si="0">F101</f>
        <v>6445563.9500000002</v>
      </c>
      <c r="E102" s="538">
        <f>IF(D102&gt;$I$98,$I$98,D102)</f>
        <v>179043.44305555557</v>
      </c>
      <c r="F102" s="495">
        <f t="shared" ref="F102:F160" si="1">+D102-E102</f>
        <v>6266520.506944445</v>
      </c>
      <c r="G102" s="543">
        <f t="shared" ref="G102:G160" si="2">+$I$96*((D102+F102)/2)+E102</f>
        <v>890371.47245774756</v>
      </c>
      <c r="H102" s="544">
        <f t="shared" ref="H102:H160" si="3">$I$97*((D102+F102)/2)+E102</f>
        <v>890371.47245774756</v>
      </c>
      <c r="I102" s="541">
        <f t="shared" ref="I102:I160" si="4">+H102-G102</f>
        <v>0</v>
      </c>
      <c r="J102" s="541"/>
      <c r="K102" s="561">
        <v>758010</v>
      </c>
      <c r="L102" s="545"/>
      <c r="M102" s="561">
        <v>758010</v>
      </c>
      <c r="N102" s="545"/>
      <c r="O102" s="545"/>
    </row>
    <row r="103" spans="2:15">
      <c r="C103" s="537">
        <f>IF(D95="","-",+C102+1)</f>
        <v>2014</v>
      </c>
      <c r="D103" s="495">
        <f t="shared" si="0"/>
        <v>6266520.506944445</v>
      </c>
      <c r="E103" s="538">
        <f t="shared" ref="E103:E160" si="5">IF(D103&gt;$I$98,$I$98,D103)</f>
        <v>179043.44305555557</v>
      </c>
      <c r="F103" s="495">
        <f t="shared" si="1"/>
        <v>6087477.0638888897</v>
      </c>
      <c r="G103" s="543">
        <f t="shared" si="2"/>
        <v>870334.06317881262</v>
      </c>
      <c r="H103" s="544">
        <f t="shared" si="3"/>
        <v>870334.06317881262</v>
      </c>
      <c r="I103" s="541">
        <f t="shared" si="4"/>
        <v>0</v>
      </c>
      <c r="J103" s="541"/>
      <c r="K103" s="561">
        <v>735370</v>
      </c>
      <c r="L103" s="545"/>
      <c r="M103" s="561">
        <v>735370</v>
      </c>
      <c r="N103" s="545"/>
      <c r="O103" s="545"/>
    </row>
    <row r="104" spans="2:15">
      <c r="C104" s="537">
        <f>IF(D95="","-",+C103+1)</f>
        <v>2015</v>
      </c>
      <c r="D104" s="495">
        <f t="shared" si="0"/>
        <v>6087477.0638888897</v>
      </c>
      <c r="E104" s="538">
        <f t="shared" si="5"/>
        <v>179043.44305555557</v>
      </c>
      <c r="F104" s="495">
        <f t="shared" si="1"/>
        <v>5908433.6208333345</v>
      </c>
      <c r="G104" s="543">
        <f t="shared" si="2"/>
        <v>850296.65389987768</v>
      </c>
      <c r="H104" s="544">
        <f t="shared" si="3"/>
        <v>850296.65389987768</v>
      </c>
      <c r="I104" s="541">
        <f t="shared" si="4"/>
        <v>0</v>
      </c>
      <c r="J104" s="541"/>
      <c r="K104" s="561">
        <v>1351122</v>
      </c>
      <c r="L104" s="545"/>
      <c r="M104" s="561">
        <v>1351122</v>
      </c>
      <c r="N104" s="545"/>
      <c r="O104" s="545"/>
    </row>
    <row r="105" spans="2:15">
      <c r="C105" s="537">
        <f>IF(D95="","-",+C104+1)</f>
        <v>2016</v>
      </c>
      <c r="D105" s="495">
        <f t="shared" si="0"/>
        <v>5908433.6208333345</v>
      </c>
      <c r="E105" s="538">
        <f t="shared" si="5"/>
        <v>179043.44305555557</v>
      </c>
      <c r="F105" s="495">
        <f t="shared" si="1"/>
        <v>5729390.1777777793</v>
      </c>
      <c r="G105" s="543">
        <f t="shared" si="2"/>
        <v>830259.24462094274</v>
      </c>
      <c r="H105" s="544">
        <f t="shared" si="3"/>
        <v>830259.24462094274</v>
      </c>
      <c r="I105" s="541">
        <f t="shared" si="4"/>
        <v>0</v>
      </c>
      <c r="J105" s="541"/>
      <c r="K105" s="561">
        <v>758565</v>
      </c>
      <c r="L105" s="545"/>
      <c r="M105" s="561">
        <v>758565</v>
      </c>
      <c r="N105" s="545"/>
      <c r="O105" s="545"/>
    </row>
    <row r="106" spans="2:15">
      <c r="C106" s="537">
        <f>IF(D95="","-",+C105+1)</f>
        <v>2017</v>
      </c>
      <c r="D106" s="495">
        <f t="shared" si="0"/>
        <v>5729390.1777777793</v>
      </c>
      <c r="E106" s="538">
        <f t="shared" si="5"/>
        <v>179043.44305555557</v>
      </c>
      <c r="F106" s="495">
        <f t="shared" si="1"/>
        <v>5550346.7347222241</v>
      </c>
      <c r="G106" s="543">
        <f t="shared" si="2"/>
        <v>810221.83534200781</v>
      </c>
      <c r="H106" s="544">
        <f t="shared" si="3"/>
        <v>810221.83534200781</v>
      </c>
      <c r="I106" s="541">
        <f t="shared" si="4"/>
        <v>0</v>
      </c>
      <c r="J106" s="541"/>
      <c r="K106" s="561">
        <v>1860187</v>
      </c>
      <c r="L106" s="545"/>
      <c r="M106" s="561">
        <v>1860187</v>
      </c>
      <c r="N106" s="545"/>
      <c r="O106" s="545"/>
    </row>
    <row r="107" spans="2:15">
      <c r="C107" s="943">
        <f>IF(D95="","-",+C106+1)</f>
        <v>2018</v>
      </c>
      <c r="D107" s="495">
        <f t="shared" si="0"/>
        <v>5550346.7347222241</v>
      </c>
      <c r="E107" s="538">
        <f t="shared" si="5"/>
        <v>179043.44305555557</v>
      </c>
      <c r="F107" s="495">
        <f t="shared" si="1"/>
        <v>5371303.2916666688</v>
      </c>
      <c r="G107" s="543">
        <f t="shared" si="2"/>
        <v>790184.42606307287</v>
      </c>
      <c r="H107" s="544">
        <f t="shared" si="3"/>
        <v>790184.42606307287</v>
      </c>
      <c r="I107" s="541">
        <f t="shared" si="4"/>
        <v>0</v>
      </c>
      <c r="J107" s="541"/>
      <c r="K107" s="561">
        <v>1592956</v>
      </c>
      <c r="L107" s="545"/>
      <c r="M107" s="561">
        <v>1592956</v>
      </c>
      <c r="N107" s="545"/>
      <c r="O107" s="545"/>
    </row>
    <row r="108" spans="2:15">
      <c r="C108" s="537">
        <f>IF(D95="","-",+C107+1)</f>
        <v>2019</v>
      </c>
      <c r="D108" s="495">
        <f t="shared" si="0"/>
        <v>5371303.2916666688</v>
      </c>
      <c r="E108" s="538">
        <f t="shared" si="5"/>
        <v>179043.44305555557</v>
      </c>
      <c r="F108" s="495">
        <f t="shared" si="1"/>
        <v>5192259.8486111136</v>
      </c>
      <c r="G108" s="543">
        <f t="shared" si="2"/>
        <v>770147.01678413793</v>
      </c>
      <c r="H108" s="544">
        <f t="shared" si="3"/>
        <v>770147.01678413793</v>
      </c>
      <c r="I108" s="541">
        <f t="shared" si="4"/>
        <v>0</v>
      </c>
      <c r="J108" s="541"/>
      <c r="K108" s="561">
        <v>744108.21654643468</v>
      </c>
      <c r="L108" s="545"/>
      <c r="M108" s="561">
        <v>744108.21654643468</v>
      </c>
      <c r="N108" s="545"/>
      <c r="O108" s="545"/>
    </row>
    <row r="109" spans="2:15">
      <c r="C109" s="537">
        <f>IF(D95="","-",+C108+1)</f>
        <v>2020</v>
      </c>
      <c r="D109" s="495">
        <f t="shared" si="0"/>
        <v>5192259.8486111136</v>
      </c>
      <c r="E109" s="538">
        <f t="shared" si="5"/>
        <v>179043.44305555557</v>
      </c>
      <c r="F109" s="495">
        <f t="shared" si="1"/>
        <v>5013216.4055555584</v>
      </c>
      <c r="G109" s="543">
        <f t="shared" si="2"/>
        <v>750109.60750520288</v>
      </c>
      <c r="H109" s="544">
        <f t="shared" si="3"/>
        <v>750109.60750520288</v>
      </c>
      <c r="I109" s="541">
        <f t="shared" si="4"/>
        <v>0</v>
      </c>
      <c r="J109" s="541"/>
      <c r="K109" s="561">
        <v>752419.89785591606</v>
      </c>
      <c r="L109" s="545"/>
      <c r="M109" s="561">
        <v>752419.89785591606</v>
      </c>
      <c r="N109" s="545"/>
      <c r="O109" s="545"/>
    </row>
    <row r="110" spans="2:15">
      <c r="C110" s="537">
        <f>IF(D95="","-",+C109+1)</f>
        <v>2021</v>
      </c>
      <c r="D110" s="495">
        <f t="shared" si="0"/>
        <v>5013216.4055555584</v>
      </c>
      <c r="E110" s="538">
        <f t="shared" si="5"/>
        <v>179043.44305555557</v>
      </c>
      <c r="F110" s="495">
        <f t="shared" si="1"/>
        <v>4834172.9625000032</v>
      </c>
      <c r="G110" s="543">
        <f t="shared" si="2"/>
        <v>730072.19822626794</v>
      </c>
      <c r="H110" s="544">
        <f t="shared" si="3"/>
        <v>730072.19822626794</v>
      </c>
      <c r="I110" s="541">
        <f t="shared" si="4"/>
        <v>0</v>
      </c>
      <c r="J110" s="541"/>
      <c r="K110" s="561">
        <v>734291.1289593752</v>
      </c>
      <c r="L110" s="545"/>
      <c r="M110" s="561">
        <v>734291.1289593752</v>
      </c>
      <c r="N110" s="545"/>
      <c r="O110" s="545"/>
    </row>
    <row r="111" spans="2:15">
      <c r="C111" s="537">
        <f>IF(D95="","-",+C110+1)</f>
        <v>2022</v>
      </c>
      <c r="D111" s="495">
        <f t="shared" si="0"/>
        <v>4834172.9625000032</v>
      </c>
      <c r="E111" s="538">
        <f t="shared" si="5"/>
        <v>179043.44305555557</v>
      </c>
      <c r="F111" s="495">
        <f t="shared" si="1"/>
        <v>4655129.5194444479</v>
      </c>
      <c r="G111" s="543">
        <f t="shared" si="2"/>
        <v>710034.788947333</v>
      </c>
      <c r="H111" s="544">
        <f t="shared" si="3"/>
        <v>710034.788947333</v>
      </c>
      <c r="I111" s="541">
        <f t="shared" si="4"/>
        <v>0</v>
      </c>
      <c r="J111" s="541"/>
      <c r="K111" s="561">
        <v>742755.11595089233</v>
      </c>
      <c r="L111" s="545"/>
      <c r="M111" s="561">
        <v>742755.11595089233</v>
      </c>
      <c r="N111" s="545"/>
      <c r="O111" s="545"/>
    </row>
    <row r="112" spans="2:15">
      <c r="C112" s="537">
        <f>IF(D95="","-",+C111+1)</f>
        <v>2023</v>
      </c>
      <c r="D112" s="495">
        <f t="shared" si="0"/>
        <v>4655129.5194444479</v>
      </c>
      <c r="E112" s="538">
        <f t="shared" si="5"/>
        <v>179043.44305555557</v>
      </c>
      <c r="F112" s="495">
        <f t="shared" si="1"/>
        <v>4476086.0763888927</v>
      </c>
      <c r="G112" s="543">
        <f t="shared" si="2"/>
        <v>689997.37966839806</v>
      </c>
      <c r="H112" s="544">
        <f t="shared" si="3"/>
        <v>689997.37966839806</v>
      </c>
      <c r="I112" s="541">
        <f t="shared" si="4"/>
        <v>0</v>
      </c>
      <c r="J112" s="541"/>
      <c r="K112" s="561">
        <v>721927.07366078533</v>
      </c>
      <c r="L112" s="545"/>
      <c r="M112" s="561">
        <v>721927.07366078533</v>
      </c>
      <c r="N112" s="545"/>
      <c r="O112" s="545"/>
    </row>
    <row r="113" spans="3:15">
      <c r="C113" s="537">
        <f>IF(D95="","-",+C112+1)</f>
        <v>2024</v>
      </c>
      <c r="D113" s="495">
        <f t="shared" si="0"/>
        <v>4476086.0763888927</v>
      </c>
      <c r="E113" s="538">
        <f t="shared" si="5"/>
        <v>179043.44305555557</v>
      </c>
      <c r="F113" s="495">
        <f t="shared" si="1"/>
        <v>4297042.6333333375</v>
      </c>
      <c r="G113" s="543">
        <f t="shared" si="2"/>
        <v>669959.97038946312</v>
      </c>
      <c r="H113" s="544">
        <f t="shared" si="3"/>
        <v>669959.97038946312</v>
      </c>
      <c r="I113" s="541">
        <f t="shared" si="4"/>
        <v>0</v>
      </c>
      <c r="J113" s="541"/>
      <c r="K113" s="561">
        <v>676466.71240790433</v>
      </c>
      <c r="L113" s="545"/>
      <c r="M113" s="561">
        <v>676466.71240790433</v>
      </c>
      <c r="N113" s="546"/>
      <c r="O113" s="545"/>
    </row>
    <row r="114" spans="3:15">
      <c r="C114" s="537">
        <f>IF(D95="","-",+C113+1)</f>
        <v>2025</v>
      </c>
      <c r="D114" s="495">
        <f t="shared" si="0"/>
        <v>4297042.6333333375</v>
      </c>
      <c r="E114" s="538">
        <f t="shared" si="5"/>
        <v>179043.44305555557</v>
      </c>
      <c r="F114" s="495">
        <f t="shared" si="1"/>
        <v>4117999.1902777818</v>
      </c>
      <c r="G114" s="543">
        <f t="shared" si="2"/>
        <v>649922.56111052819</v>
      </c>
      <c r="H114" s="544">
        <f t="shared" si="3"/>
        <v>649922.56111052819</v>
      </c>
      <c r="I114" s="541">
        <f t="shared" si="4"/>
        <v>0</v>
      </c>
      <c r="J114" s="541"/>
      <c r="K114" s="561">
        <v>662590.49794160854</v>
      </c>
      <c r="L114" s="545"/>
      <c r="M114" s="561">
        <v>662590.49794160854</v>
      </c>
      <c r="N114" s="545"/>
      <c r="O114" s="545"/>
    </row>
    <row r="115" spans="3:15">
      <c r="C115" s="935">
        <f>IF(D95="","-",+C114+1)</f>
        <v>2026</v>
      </c>
      <c r="D115" s="495">
        <f t="shared" si="0"/>
        <v>4117999.1902777818</v>
      </c>
      <c r="E115" s="538">
        <f t="shared" si="5"/>
        <v>179043.44305555557</v>
      </c>
      <c r="F115" s="495">
        <f t="shared" si="1"/>
        <v>3938955.7472222261</v>
      </c>
      <c r="G115" s="543">
        <f t="shared" si="2"/>
        <v>629885.15183159313</v>
      </c>
      <c r="H115" s="544">
        <f t="shared" si="3"/>
        <v>629885.15183159313</v>
      </c>
      <c r="I115" s="541">
        <f t="shared" si="4"/>
        <v>0</v>
      </c>
      <c r="J115" s="541"/>
      <c r="K115" s="561"/>
      <c r="L115" s="545"/>
      <c r="M115" s="561"/>
      <c r="N115" s="545"/>
      <c r="O115" s="545"/>
    </row>
    <row r="116" spans="3:15">
      <c r="C116" s="537">
        <f>IF(D95="","-",+C115+1)</f>
        <v>2027</v>
      </c>
      <c r="D116" s="495">
        <f t="shared" si="0"/>
        <v>3938955.7472222261</v>
      </c>
      <c r="E116" s="538">
        <f t="shared" si="5"/>
        <v>179043.44305555557</v>
      </c>
      <c r="F116" s="495">
        <f t="shared" si="1"/>
        <v>3759912.3041666704</v>
      </c>
      <c r="G116" s="543">
        <f t="shared" si="2"/>
        <v>609847.74255265819</v>
      </c>
      <c r="H116" s="544">
        <f t="shared" si="3"/>
        <v>609847.74255265819</v>
      </c>
      <c r="I116" s="541">
        <f t="shared" si="4"/>
        <v>0</v>
      </c>
      <c r="J116" s="541"/>
      <c r="K116" s="561"/>
      <c r="L116" s="545"/>
      <c r="M116" s="561"/>
      <c r="N116" s="545"/>
      <c r="O116" s="545"/>
    </row>
    <row r="117" spans="3:15">
      <c r="C117" s="537">
        <f>IF(D95="","-",+C116+1)</f>
        <v>2028</v>
      </c>
      <c r="D117" s="495">
        <f t="shared" si="0"/>
        <v>3759912.3041666704</v>
      </c>
      <c r="E117" s="538">
        <f t="shared" si="5"/>
        <v>179043.44305555557</v>
      </c>
      <c r="F117" s="495">
        <f t="shared" si="1"/>
        <v>3580868.8611111147</v>
      </c>
      <c r="G117" s="543">
        <f t="shared" si="2"/>
        <v>589810.33327372314</v>
      </c>
      <c r="H117" s="544">
        <f t="shared" si="3"/>
        <v>589810.33327372314</v>
      </c>
      <c r="I117" s="541">
        <f t="shared" si="4"/>
        <v>0</v>
      </c>
      <c r="J117" s="541"/>
      <c r="K117" s="561"/>
      <c r="L117" s="545"/>
      <c r="M117" s="561"/>
      <c r="N117" s="545"/>
      <c r="O117" s="545"/>
    </row>
    <row r="118" spans="3:15">
      <c r="C118" s="537">
        <f>IF(D95="","-",+C117+1)</f>
        <v>2029</v>
      </c>
      <c r="D118" s="495">
        <f t="shared" si="0"/>
        <v>3580868.8611111147</v>
      </c>
      <c r="E118" s="538">
        <f t="shared" si="5"/>
        <v>179043.44305555557</v>
      </c>
      <c r="F118" s="495">
        <f t="shared" si="1"/>
        <v>3401825.418055559</v>
      </c>
      <c r="G118" s="543">
        <f t="shared" si="2"/>
        <v>569772.9239947882</v>
      </c>
      <c r="H118" s="544">
        <f t="shared" si="3"/>
        <v>569772.9239947882</v>
      </c>
      <c r="I118" s="541">
        <f t="shared" si="4"/>
        <v>0</v>
      </c>
      <c r="J118" s="541"/>
      <c r="K118" s="561"/>
      <c r="L118" s="545"/>
      <c r="M118" s="561"/>
      <c r="N118" s="545"/>
      <c r="O118" s="545"/>
    </row>
    <row r="119" spans="3:15">
      <c r="C119" s="537">
        <f>IF(D95="","-",+C118+1)</f>
        <v>2030</v>
      </c>
      <c r="D119" s="495">
        <f t="shared" si="0"/>
        <v>3401825.418055559</v>
      </c>
      <c r="E119" s="538">
        <f t="shared" si="5"/>
        <v>179043.44305555557</v>
      </c>
      <c r="F119" s="495">
        <f t="shared" si="1"/>
        <v>3222781.9750000034</v>
      </c>
      <c r="G119" s="543">
        <f t="shared" si="2"/>
        <v>549735.51471585315</v>
      </c>
      <c r="H119" s="544">
        <f t="shared" si="3"/>
        <v>549735.51471585315</v>
      </c>
      <c r="I119" s="541">
        <f t="shared" si="4"/>
        <v>0</v>
      </c>
      <c r="J119" s="541"/>
      <c r="K119" s="561"/>
      <c r="L119" s="545"/>
      <c r="M119" s="561"/>
      <c r="N119" s="545"/>
      <c r="O119" s="545"/>
    </row>
    <row r="120" spans="3:15">
      <c r="C120" s="537">
        <f>IF(D95="","-",+C119+1)</f>
        <v>2031</v>
      </c>
      <c r="D120" s="495">
        <f t="shared" si="0"/>
        <v>3222781.9750000034</v>
      </c>
      <c r="E120" s="538">
        <f t="shared" si="5"/>
        <v>179043.44305555557</v>
      </c>
      <c r="F120" s="495">
        <f t="shared" si="1"/>
        <v>3043738.5319444477</v>
      </c>
      <c r="G120" s="543">
        <f t="shared" si="2"/>
        <v>529698.10543691821</v>
      </c>
      <c r="H120" s="544">
        <f t="shared" si="3"/>
        <v>529698.10543691821</v>
      </c>
      <c r="I120" s="541">
        <f t="shared" si="4"/>
        <v>0</v>
      </c>
      <c r="J120" s="541"/>
      <c r="K120" s="561"/>
      <c r="L120" s="545"/>
      <c r="M120" s="561"/>
      <c r="N120" s="545"/>
      <c r="O120" s="545"/>
    </row>
    <row r="121" spans="3:15">
      <c r="C121" s="537">
        <f>IF(D95="","-",+C120+1)</f>
        <v>2032</v>
      </c>
      <c r="D121" s="495">
        <f t="shared" si="0"/>
        <v>3043738.5319444477</v>
      </c>
      <c r="E121" s="538">
        <f t="shared" si="5"/>
        <v>179043.44305555557</v>
      </c>
      <c r="F121" s="495">
        <f t="shared" si="1"/>
        <v>2864695.088888892</v>
      </c>
      <c r="G121" s="543">
        <f t="shared" si="2"/>
        <v>509660.69615798315</v>
      </c>
      <c r="H121" s="544">
        <f t="shared" si="3"/>
        <v>509660.69615798315</v>
      </c>
      <c r="I121" s="541">
        <f t="shared" si="4"/>
        <v>0</v>
      </c>
      <c r="J121" s="541"/>
      <c r="K121" s="561"/>
      <c r="L121" s="545"/>
      <c r="M121" s="561"/>
      <c r="N121" s="545"/>
      <c r="O121" s="545"/>
    </row>
    <row r="122" spans="3:15">
      <c r="C122" s="537">
        <f>IF(D95="","-",+C121+1)</f>
        <v>2033</v>
      </c>
      <c r="D122" s="495">
        <f t="shared" si="0"/>
        <v>2864695.088888892</v>
      </c>
      <c r="E122" s="538">
        <f t="shared" si="5"/>
        <v>179043.44305555557</v>
      </c>
      <c r="F122" s="495">
        <f t="shared" si="1"/>
        <v>2685651.6458333363</v>
      </c>
      <c r="G122" s="543">
        <f t="shared" si="2"/>
        <v>489623.28687904822</v>
      </c>
      <c r="H122" s="544">
        <f t="shared" si="3"/>
        <v>489623.28687904822</v>
      </c>
      <c r="I122" s="541">
        <f t="shared" si="4"/>
        <v>0</v>
      </c>
      <c r="J122" s="541"/>
      <c r="K122" s="561"/>
      <c r="L122" s="545"/>
      <c r="M122" s="561"/>
      <c r="N122" s="545"/>
      <c r="O122" s="545"/>
    </row>
    <row r="123" spans="3:15">
      <c r="C123" s="537">
        <f>IF(D95="","-",+C122+1)</f>
        <v>2034</v>
      </c>
      <c r="D123" s="495">
        <f t="shared" si="0"/>
        <v>2685651.6458333363</v>
      </c>
      <c r="E123" s="538">
        <f t="shared" si="5"/>
        <v>179043.44305555557</v>
      </c>
      <c r="F123" s="495">
        <f t="shared" si="1"/>
        <v>2506608.2027777806</v>
      </c>
      <c r="G123" s="543">
        <f t="shared" si="2"/>
        <v>469585.87760011316</v>
      </c>
      <c r="H123" s="544">
        <f t="shared" si="3"/>
        <v>469585.87760011316</v>
      </c>
      <c r="I123" s="541">
        <f t="shared" si="4"/>
        <v>0</v>
      </c>
      <c r="J123" s="541"/>
      <c r="K123" s="561"/>
      <c r="L123" s="545"/>
      <c r="M123" s="561"/>
      <c r="N123" s="545"/>
      <c r="O123" s="545"/>
    </row>
    <row r="124" spans="3:15">
      <c r="C124" s="537">
        <f>IF(D95="","-",+C123+1)</f>
        <v>2035</v>
      </c>
      <c r="D124" s="495">
        <f t="shared" si="0"/>
        <v>2506608.2027777806</v>
      </c>
      <c r="E124" s="538">
        <f t="shared" si="5"/>
        <v>179043.44305555557</v>
      </c>
      <c r="F124" s="495">
        <f t="shared" si="1"/>
        <v>2327564.7597222249</v>
      </c>
      <c r="G124" s="543">
        <f t="shared" si="2"/>
        <v>449548.46832117817</v>
      </c>
      <c r="H124" s="544">
        <f t="shared" si="3"/>
        <v>449548.46832117817</v>
      </c>
      <c r="I124" s="541">
        <f t="shared" si="4"/>
        <v>0</v>
      </c>
      <c r="J124" s="541"/>
      <c r="K124" s="561"/>
      <c r="L124" s="545"/>
      <c r="M124" s="561"/>
      <c r="N124" s="545"/>
      <c r="O124" s="545"/>
    </row>
    <row r="125" spans="3:15">
      <c r="C125" s="537">
        <f>IF(D95="","-",+C124+1)</f>
        <v>2036</v>
      </c>
      <c r="D125" s="495">
        <f t="shared" si="0"/>
        <v>2327564.7597222249</v>
      </c>
      <c r="E125" s="538">
        <f t="shared" si="5"/>
        <v>179043.44305555557</v>
      </c>
      <c r="F125" s="495">
        <f t="shared" si="1"/>
        <v>2148521.3166666692</v>
      </c>
      <c r="G125" s="543">
        <f t="shared" si="2"/>
        <v>429511.05904224317</v>
      </c>
      <c r="H125" s="544">
        <f t="shared" si="3"/>
        <v>429511.05904224317</v>
      </c>
      <c r="I125" s="541">
        <f t="shared" si="4"/>
        <v>0</v>
      </c>
      <c r="J125" s="541"/>
      <c r="K125" s="561"/>
      <c r="L125" s="545"/>
      <c r="M125" s="561"/>
      <c r="N125" s="545"/>
      <c r="O125" s="545"/>
    </row>
    <row r="126" spans="3:15">
      <c r="C126" s="537">
        <f>IF(D95="","-",+C125+1)</f>
        <v>2037</v>
      </c>
      <c r="D126" s="495">
        <f t="shared" si="0"/>
        <v>2148521.3166666692</v>
      </c>
      <c r="E126" s="538">
        <f t="shared" si="5"/>
        <v>179043.44305555557</v>
      </c>
      <c r="F126" s="495">
        <f t="shared" si="1"/>
        <v>1969477.8736111135</v>
      </c>
      <c r="G126" s="543">
        <f t="shared" si="2"/>
        <v>409473.64976330817</v>
      </c>
      <c r="H126" s="544">
        <f t="shared" si="3"/>
        <v>409473.64976330817</v>
      </c>
      <c r="I126" s="541">
        <f t="shared" si="4"/>
        <v>0</v>
      </c>
      <c r="J126" s="541"/>
      <c r="K126" s="561"/>
      <c r="L126" s="545"/>
      <c r="M126" s="561"/>
      <c r="N126" s="545"/>
      <c r="O126" s="545"/>
    </row>
    <row r="127" spans="3:15">
      <c r="C127" s="537">
        <f>IF(D95="","-",+C126+1)</f>
        <v>2038</v>
      </c>
      <c r="D127" s="495">
        <f t="shared" si="0"/>
        <v>1969477.8736111135</v>
      </c>
      <c r="E127" s="538">
        <f t="shared" si="5"/>
        <v>179043.44305555557</v>
      </c>
      <c r="F127" s="495">
        <f t="shared" si="1"/>
        <v>1790434.4305555578</v>
      </c>
      <c r="G127" s="543">
        <f t="shared" si="2"/>
        <v>389436.24048437318</v>
      </c>
      <c r="H127" s="544">
        <f t="shared" si="3"/>
        <v>389436.24048437318</v>
      </c>
      <c r="I127" s="541">
        <f t="shared" si="4"/>
        <v>0</v>
      </c>
      <c r="J127" s="541"/>
      <c r="K127" s="561"/>
      <c r="L127" s="545"/>
      <c r="M127" s="561"/>
      <c r="N127" s="545"/>
      <c r="O127" s="545"/>
    </row>
    <row r="128" spans="3:15">
      <c r="C128" s="537">
        <f>IF(D95="","-",+C127+1)</f>
        <v>2039</v>
      </c>
      <c r="D128" s="495">
        <f t="shared" si="0"/>
        <v>1790434.4305555578</v>
      </c>
      <c r="E128" s="538">
        <f t="shared" si="5"/>
        <v>179043.44305555557</v>
      </c>
      <c r="F128" s="495">
        <f t="shared" si="1"/>
        <v>1611390.9875000021</v>
      </c>
      <c r="G128" s="543">
        <f t="shared" si="2"/>
        <v>369398.83120543818</v>
      </c>
      <c r="H128" s="544">
        <f t="shared" si="3"/>
        <v>369398.83120543818</v>
      </c>
      <c r="I128" s="541">
        <f t="shared" si="4"/>
        <v>0</v>
      </c>
      <c r="J128" s="541"/>
      <c r="K128" s="561"/>
      <c r="L128" s="545"/>
      <c r="M128" s="561"/>
      <c r="N128" s="545"/>
      <c r="O128" s="545"/>
    </row>
    <row r="129" spans="3:15">
      <c r="C129" s="537">
        <f>IF(D95="","-",+C128+1)</f>
        <v>2040</v>
      </c>
      <c r="D129" s="495">
        <f t="shared" si="0"/>
        <v>1611390.9875000021</v>
      </c>
      <c r="E129" s="538">
        <f t="shared" si="5"/>
        <v>179043.44305555557</v>
      </c>
      <c r="F129" s="495">
        <f t="shared" si="1"/>
        <v>1432347.5444444465</v>
      </c>
      <c r="G129" s="539">
        <f t="shared" si="2"/>
        <v>349361.42192650319</v>
      </c>
      <c r="H129" s="544">
        <f t="shared" si="3"/>
        <v>349361.42192650319</v>
      </c>
      <c r="I129" s="541">
        <f t="shared" si="4"/>
        <v>0</v>
      </c>
      <c r="J129" s="541"/>
      <c r="K129" s="561"/>
      <c r="L129" s="545"/>
      <c r="M129" s="561"/>
      <c r="N129" s="545"/>
      <c r="O129" s="545"/>
    </row>
    <row r="130" spans="3:15">
      <c r="C130" s="537">
        <f>IF(D95="","-",+C129+1)</f>
        <v>2041</v>
      </c>
      <c r="D130" s="495">
        <f t="shared" si="0"/>
        <v>1432347.5444444465</v>
      </c>
      <c r="E130" s="538">
        <f t="shared" si="5"/>
        <v>179043.44305555557</v>
      </c>
      <c r="F130" s="495">
        <f t="shared" si="1"/>
        <v>1253304.1013888908</v>
      </c>
      <c r="G130" s="543">
        <f t="shared" si="2"/>
        <v>329324.01264756813</v>
      </c>
      <c r="H130" s="544">
        <f t="shared" si="3"/>
        <v>329324.01264756813</v>
      </c>
      <c r="I130" s="541">
        <f t="shared" si="4"/>
        <v>0</v>
      </c>
      <c r="J130" s="541"/>
      <c r="K130" s="561"/>
      <c r="L130" s="545"/>
      <c r="M130" s="561"/>
      <c r="N130" s="545"/>
      <c r="O130" s="545"/>
    </row>
    <row r="131" spans="3:15">
      <c r="C131" s="537">
        <f>IF(D95="","-",+C130+1)</f>
        <v>2042</v>
      </c>
      <c r="D131" s="495">
        <f t="shared" si="0"/>
        <v>1253304.1013888908</v>
      </c>
      <c r="E131" s="538">
        <f t="shared" si="5"/>
        <v>179043.44305555557</v>
      </c>
      <c r="F131" s="495">
        <f t="shared" si="1"/>
        <v>1074260.6583333351</v>
      </c>
      <c r="G131" s="543">
        <f t="shared" si="2"/>
        <v>309286.60336863319</v>
      </c>
      <c r="H131" s="544">
        <f t="shared" si="3"/>
        <v>309286.60336863319</v>
      </c>
      <c r="I131" s="541">
        <f t="shared" si="4"/>
        <v>0</v>
      </c>
      <c r="J131" s="541"/>
      <c r="K131" s="561"/>
      <c r="L131" s="545"/>
      <c r="M131" s="561"/>
      <c r="N131" s="545"/>
      <c r="O131" s="545"/>
    </row>
    <row r="132" spans="3:15">
      <c r="C132" s="537">
        <f>IF(D95="","-",+C131+1)</f>
        <v>2043</v>
      </c>
      <c r="D132" s="495">
        <f t="shared" si="0"/>
        <v>1074260.6583333351</v>
      </c>
      <c r="E132" s="538">
        <f t="shared" si="5"/>
        <v>179043.44305555557</v>
      </c>
      <c r="F132" s="495">
        <f t="shared" si="1"/>
        <v>895217.2152777795</v>
      </c>
      <c r="G132" s="543">
        <f t="shared" si="2"/>
        <v>289249.19408969814</v>
      </c>
      <c r="H132" s="544">
        <f t="shared" si="3"/>
        <v>289249.19408969814</v>
      </c>
      <c r="I132" s="541">
        <f t="shared" si="4"/>
        <v>0</v>
      </c>
      <c r="J132" s="541"/>
      <c r="K132" s="561"/>
      <c r="L132" s="545"/>
      <c r="M132" s="561"/>
      <c r="N132" s="545"/>
      <c r="O132" s="545"/>
    </row>
    <row r="133" spans="3:15">
      <c r="C133" s="537">
        <f>IF(D95="","-",+C132+1)</f>
        <v>2044</v>
      </c>
      <c r="D133" s="495">
        <f t="shared" si="0"/>
        <v>895217.2152777795</v>
      </c>
      <c r="E133" s="538">
        <f t="shared" si="5"/>
        <v>179043.44305555557</v>
      </c>
      <c r="F133" s="495">
        <f t="shared" si="1"/>
        <v>716173.77222222392</v>
      </c>
      <c r="G133" s="543">
        <f t="shared" si="2"/>
        <v>269211.7848107632</v>
      </c>
      <c r="H133" s="544">
        <f t="shared" si="3"/>
        <v>269211.7848107632</v>
      </c>
      <c r="I133" s="541">
        <f t="shared" si="4"/>
        <v>0</v>
      </c>
      <c r="J133" s="541"/>
      <c r="K133" s="561"/>
      <c r="L133" s="545"/>
      <c r="M133" s="561"/>
      <c r="N133" s="545"/>
      <c r="O133" s="545"/>
    </row>
    <row r="134" spans="3:15">
      <c r="C134" s="537">
        <f>IF(D95="","-",+C133+1)</f>
        <v>2045</v>
      </c>
      <c r="D134" s="495">
        <f t="shared" si="0"/>
        <v>716173.77222222392</v>
      </c>
      <c r="E134" s="538">
        <f t="shared" si="5"/>
        <v>179043.44305555557</v>
      </c>
      <c r="F134" s="495">
        <f t="shared" si="1"/>
        <v>537130.32916666835</v>
      </c>
      <c r="G134" s="543">
        <f t="shared" si="2"/>
        <v>249174.37553182821</v>
      </c>
      <c r="H134" s="544">
        <f t="shared" si="3"/>
        <v>249174.37553182821</v>
      </c>
      <c r="I134" s="541">
        <f t="shared" si="4"/>
        <v>0</v>
      </c>
      <c r="J134" s="541"/>
      <c r="K134" s="561"/>
      <c r="L134" s="545"/>
      <c r="M134" s="561"/>
      <c r="N134" s="545"/>
      <c r="O134" s="545"/>
    </row>
    <row r="135" spans="3:15">
      <c r="C135" s="537">
        <f>IF(D95="","-",+C134+1)</f>
        <v>2046</v>
      </c>
      <c r="D135" s="495">
        <f t="shared" si="0"/>
        <v>537130.32916666835</v>
      </c>
      <c r="E135" s="538">
        <f t="shared" si="5"/>
        <v>179043.44305555557</v>
      </c>
      <c r="F135" s="495">
        <f t="shared" si="1"/>
        <v>358086.88611111278</v>
      </c>
      <c r="G135" s="543">
        <f t="shared" si="2"/>
        <v>229136.96625289321</v>
      </c>
      <c r="H135" s="544">
        <f t="shared" si="3"/>
        <v>229136.96625289321</v>
      </c>
      <c r="I135" s="541">
        <f t="shared" si="4"/>
        <v>0</v>
      </c>
      <c r="J135" s="541"/>
      <c r="K135" s="561"/>
      <c r="L135" s="545"/>
      <c r="M135" s="561"/>
      <c r="N135" s="545"/>
      <c r="O135" s="545"/>
    </row>
    <row r="136" spans="3:15">
      <c r="C136" s="537">
        <f>IF(D95="","-",+C135+1)</f>
        <v>2047</v>
      </c>
      <c r="D136" s="495">
        <f t="shared" si="0"/>
        <v>358086.88611111278</v>
      </c>
      <c r="E136" s="538">
        <f t="shared" si="5"/>
        <v>179043.44305555557</v>
      </c>
      <c r="F136" s="495">
        <f t="shared" si="1"/>
        <v>179043.4430555572</v>
      </c>
      <c r="G136" s="543">
        <f t="shared" si="2"/>
        <v>209099.55697395824</v>
      </c>
      <c r="H136" s="544">
        <f t="shared" si="3"/>
        <v>209099.55697395824</v>
      </c>
      <c r="I136" s="541">
        <f t="shared" si="4"/>
        <v>0</v>
      </c>
      <c r="J136" s="541"/>
      <c r="K136" s="561"/>
      <c r="L136" s="545"/>
      <c r="M136" s="561"/>
      <c r="N136" s="545"/>
      <c r="O136" s="545"/>
    </row>
    <row r="137" spans="3:15">
      <c r="C137" s="537">
        <f>IF(D95="","-",+C136+1)</f>
        <v>2048</v>
      </c>
      <c r="D137" s="495">
        <f t="shared" si="0"/>
        <v>179043.4430555572</v>
      </c>
      <c r="E137" s="538">
        <f t="shared" si="5"/>
        <v>179043.44305555557</v>
      </c>
      <c r="F137" s="495">
        <f t="shared" si="1"/>
        <v>1.6298145055770874E-9</v>
      </c>
      <c r="G137" s="543">
        <f t="shared" si="2"/>
        <v>189062.14769502325</v>
      </c>
      <c r="H137" s="544">
        <f t="shared" si="3"/>
        <v>189062.14769502325</v>
      </c>
      <c r="I137" s="541">
        <f t="shared" si="4"/>
        <v>0</v>
      </c>
      <c r="J137" s="541"/>
      <c r="K137" s="561"/>
      <c r="L137" s="545"/>
      <c r="M137" s="561"/>
      <c r="N137" s="545"/>
      <c r="O137" s="545"/>
    </row>
    <row r="138" spans="3:15">
      <c r="C138" s="537">
        <f>IF(D95="","-",+C137+1)</f>
        <v>2049</v>
      </c>
      <c r="D138" s="495">
        <f t="shared" si="0"/>
        <v>1.6298145055770874E-9</v>
      </c>
      <c r="E138" s="538">
        <f t="shared" si="5"/>
        <v>1.6298145055770874E-9</v>
      </c>
      <c r="F138" s="495">
        <f t="shared" si="1"/>
        <v>0</v>
      </c>
      <c r="G138" s="543">
        <f t="shared" si="2"/>
        <v>1.7210137691180032E-9</v>
      </c>
      <c r="H138" s="544">
        <f t="shared" si="3"/>
        <v>1.7210137691180032E-9</v>
      </c>
      <c r="I138" s="541">
        <f t="shared" si="4"/>
        <v>0</v>
      </c>
      <c r="J138" s="541"/>
      <c r="K138" s="561"/>
      <c r="L138" s="545"/>
      <c r="M138" s="561"/>
      <c r="N138" s="545"/>
      <c r="O138" s="545"/>
    </row>
    <row r="139" spans="3:15">
      <c r="C139" s="537">
        <f>IF(D95="","-",+C138+1)</f>
        <v>2050</v>
      </c>
      <c r="D139" s="495">
        <f t="shared" si="0"/>
        <v>0</v>
      </c>
      <c r="E139" s="538">
        <f t="shared" si="5"/>
        <v>0</v>
      </c>
      <c r="F139" s="495">
        <f t="shared" si="1"/>
        <v>0</v>
      </c>
      <c r="G139" s="543">
        <f t="shared" si="2"/>
        <v>0</v>
      </c>
      <c r="H139" s="544">
        <f t="shared" si="3"/>
        <v>0</v>
      </c>
      <c r="I139" s="541">
        <f t="shared" si="4"/>
        <v>0</v>
      </c>
      <c r="J139" s="541"/>
      <c r="K139" s="561"/>
      <c r="L139" s="545"/>
      <c r="M139" s="561"/>
      <c r="N139" s="545"/>
      <c r="O139" s="545"/>
    </row>
    <row r="140" spans="3:15">
      <c r="C140" s="537">
        <f>IF(D95="","-",+C139+1)</f>
        <v>2051</v>
      </c>
      <c r="D140" s="495">
        <f t="shared" si="0"/>
        <v>0</v>
      </c>
      <c r="E140" s="538">
        <f t="shared" si="5"/>
        <v>0</v>
      </c>
      <c r="F140" s="495">
        <f t="shared" si="1"/>
        <v>0</v>
      </c>
      <c r="G140" s="543">
        <f t="shared" si="2"/>
        <v>0</v>
      </c>
      <c r="H140" s="544">
        <f t="shared" si="3"/>
        <v>0</v>
      </c>
      <c r="I140" s="541">
        <f t="shared" si="4"/>
        <v>0</v>
      </c>
      <c r="J140" s="541"/>
      <c r="K140" s="561"/>
      <c r="L140" s="545"/>
      <c r="M140" s="561"/>
      <c r="N140" s="545"/>
      <c r="O140" s="545"/>
    </row>
    <row r="141" spans="3:15">
      <c r="C141" s="537">
        <f>IF(D95="","-",+C140+1)</f>
        <v>2052</v>
      </c>
      <c r="D141" s="495">
        <f t="shared" si="0"/>
        <v>0</v>
      </c>
      <c r="E141" s="538">
        <f t="shared" si="5"/>
        <v>0</v>
      </c>
      <c r="F141" s="495">
        <f t="shared" si="1"/>
        <v>0</v>
      </c>
      <c r="G141" s="543">
        <f t="shared" si="2"/>
        <v>0</v>
      </c>
      <c r="H141" s="544">
        <f t="shared" si="3"/>
        <v>0</v>
      </c>
      <c r="I141" s="541">
        <f t="shared" si="4"/>
        <v>0</v>
      </c>
      <c r="J141" s="541"/>
      <c r="K141" s="561"/>
      <c r="L141" s="545"/>
      <c r="M141" s="561"/>
      <c r="N141" s="545"/>
      <c r="O141" s="545"/>
    </row>
    <row r="142" spans="3:15">
      <c r="C142" s="537">
        <f>IF(D95="","-",+C141+1)</f>
        <v>2053</v>
      </c>
      <c r="D142" s="495">
        <f t="shared" si="0"/>
        <v>0</v>
      </c>
      <c r="E142" s="538">
        <f t="shared" si="5"/>
        <v>0</v>
      </c>
      <c r="F142" s="495">
        <f t="shared" si="1"/>
        <v>0</v>
      </c>
      <c r="G142" s="543">
        <f t="shared" si="2"/>
        <v>0</v>
      </c>
      <c r="H142" s="544">
        <f t="shared" si="3"/>
        <v>0</v>
      </c>
      <c r="I142" s="541">
        <f t="shared" si="4"/>
        <v>0</v>
      </c>
      <c r="J142" s="541"/>
      <c r="K142" s="561"/>
      <c r="L142" s="545"/>
      <c r="M142" s="561"/>
      <c r="N142" s="545"/>
      <c r="O142" s="545"/>
    </row>
    <row r="143" spans="3:15">
      <c r="C143" s="537">
        <f>IF(D95="","-",+C142+1)</f>
        <v>2054</v>
      </c>
      <c r="D143" s="495">
        <f t="shared" si="0"/>
        <v>0</v>
      </c>
      <c r="E143" s="538">
        <f t="shared" si="5"/>
        <v>0</v>
      </c>
      <c r="F143" s="495">
        <f t="shared" si="1"/>
        <v>0</v>
      </c>
      <c r="G143" s="543">
        <f t="shared" si="2"/>
        <v>0</v>
      </c>
      <c r="H143" s="544">
        <f t="shared" si="3"/>
        <v>0</v>
      </c>
      <c r="I143" s="541">
        <f t="shared" si="4"/>
        <v>0</v>
      </c>
      <c r="J143" s="541"/>
      <c r="K143" s="561"/>
      <c r="L143" s="545"/>
      <c r="M143" s="561"/>
      <c r="N143" s="545"/>
      <c r="O143" s="545"/>
    </row>
    <row r="144" spans="3:15">
      <c r="C144" s="537">
        <f>IF(D95="","-",+C143+1)</f>
        <v>2055</v>
      </c>
      <c r="D144" s="495">
        <f t="shared" si="0"/>
        <v>0</v>
      </c>
      <c r="E144" s="538">
        <f t="shared" si="5"/>
        <v>0</v>
      </c>
      <c r="F144" s="495">
        <f t="shared" si="1"/>
        <v>0</v>
      </c>
      <c r="G144" s="543">
        <f t="shared" si="2"/>
        <v>0</v>
      </c>
      <c r="H144" s="544">
        <f t="shared" si="3"/>
        <v>0</v>
      </c>
      <c r="I144" s="541">
        <f t="shared" si="4"/>
        <v>0</v>
      </c>
      <c r="J144" s="541"/>
      <c r="K144" s="561"/>
      <c r="L144" s="545"/>
      <c r="M144" s="561"/>
      <c r="N144" s="545"/>
      <c r="O144" s="545"/>
    </row>
    <row r="145" spans="3:15">
      <c r="C145" s="537">
        <f>IF(D95="","-",+C144+1)</f>
        <v>2056</v>
      </c>
      <c r="D145" s="495">
        <f t="shared" si="0"/>
        <v>0</v>
      </c>
      <c r="E145" s="538">
        <f t="shared" si="5"/>
        <v>0</v>
      </c>
      <c r="F145" s="495">
        <f t="shared" si="1"/>
        <v>0</v>
      </c>
      <c r="G145" s="543">
        <f t="shared" si="2"/>
        <v>0</v>
      </c>
      <c r="H145" s="544">
        <f t="shared" si="3"/>
        <v>0</v>
      </c>
      <c r="I145" s="541">
        <f t="shared" si="4"/>
        <v>0</v>
      </c>
      <c r="J145" s="541"/>
      <c r="K145" s="561"/>
      <c r="L145" s="545"/>
      <c r="M145" s="561"/>
      <c r="N145" s="545"/>
      <c r="O145" s="545"/>
    </row>
    <row r="146" spans="3:15">
      <c r="C146" s="537">
        <f>IF(D95="","-",+C145+1)</f>
        <v>2057</v>
      </c>
      <c r="D146" s="495">
        <f t="shared" si="0"/>
        <v>0</v>
      </c>
      <c r="E146" s="538">
        <f t="shared" si="5"/>
        <v>0</v>
      </c>
      <c r="F146" s="495">
        <f t="shared" si="1"/>
        <v>0</v>
      </c>
      <c r="G146" s="543">
        <f t="shared" si="2"/>
        <v>0</v>
      </c>
      <c r="H146" s="544">
        <f t="shared" si="3"/>
        <v>0</v>
      </c>
      <c r="I146" s="541">
        <f t="shared" si="4"/>
        <v>0</v>
      </c>
      <c r="J146" s="541"/>
      <c r="K146" s="561"/>
      <c r="L146" s="545"/>
      <c r="M146" s="561"/>
      <c r="N146" s="545"/>
      <c r="O146" s="545"/>
    </row>
    <row r="147" spans="3:15">
      <c r="C147" s="537">
        <f>IF(D95="","-",+C146+1)</f>
        <v>2058</v>
      </c>
      <c r="D147" s="495">
        <f t="shared" si="0"/>
        <v>0</v>
      </c>
      <c r="E147" s="538">
        <f t="shared" si="5"/>
        <v>0</v>
      </c>
      <c r="F147" s="495">
        <f t="shared" si="1"/>
        <v>0</v>
      </c>
      <c r="G147" s="543">
        <f t="shared" si="2"/>
        <v>0</v>
      </c>
      <c r="H147" s="544">
        <f t="shared" si="3"/>
        <v>0</v>
      </c>
      <c r="I147" s="541">
        <f t="shared" si="4"/>
        <v>0</v>
      </c>
      <c r="J147" s="541"/>
      <c r="K147" s="561"/>
      <c r="L147" s="545"/>
      <c r="M147" s="561"/>
      <c r="N147" s="545"/>
      <c r="O147" s="545"/>
    </row>
    <row r="148" spans="3:15">
      <c r="C148" s="537">
        <f>IF(D95="","-",+C147+1)</f>
        <v>2059</v>
      </c>
      <c r="D148" s="495">
        <f t="shared" si="0"/>
        <v>0</v>
      </c>
      <c r="E148" s="538">
        <f t="shared" si="5"/>
        <v>0</v>
      </c>
      <c r="F148" s="495">
        <f t="shared" si="1"/>
        <v>0</v>
      </c>
      <c r="G148" s="543">
        <f t="shared" si="2"/>
        <v>0</v>
      </c>
      <c r="H148" s="544">
        <f t="shared" si="3"/>
        <v>0</v>
      </c>
      <c r="I148" s="541">
        <f t="shared" si="4"/>
        <v>0</v>
      </c>
      <c r="J148" s="541"/>
      <c r="K148" s="561"/>
      <c r="L148" s="545"/>
      <c r="M148" s="561"/>
      <c r="N148" s="545"/>
      <c r="O148" s="545"/>
    </row>
    <row r="149" spans="3:15">
      <c r="C149" s="537">
        <f>IF(D95="","-",+C148+1)</f>
        <v>2060</v>
      </c>
      <c r="D149" s="495">
        <f t="shared" si="0"/>
        <v>0</v>
      </c>
      <c r="E149" s="538">
        <f t="shared" si="5"/>
        <v>0</v>
      </c>
      <c r="F149" s="495">
        <f t="shared" si="1"/>
        <v>0</v>
      </c>
      <c r="G149" s="543">
        <f t="shared" si="2"/>
        <v>0</v>
      </c>
      <c r="H149" s="544">
        <f t="shared" si="3"/>
        <v>0</v>
      </c>
      <c r="I149" s="541">
        <f t="shared" si="4"/>
        <v>0</v>
      </c>
      <c r="J149" s="541"/>
      <c r="K149" s="561"/>
      <c r="L149" s="545"/>
      <c r="M149" s="561"/>
      <c r="N149" s="545"/>
      <c r="O149" s="545"/>
    </row>
    <row r="150" spans="3:15">
      <c r="C150" s="537">
        <f>IF(D95="","-",+C149+1)</f>
        <v>2061</v>
      </c>
      <c r="D150" s="495">
        <f t="shared" si="0"/>
        <v>0</v>
      </c>
      <c r="E150" s="538">
        <f t="shared" si="5"/>
        <v>0</v>
      </c>
      <c r="F150" s="495">
        <f t="shared" si="1"/>
        <v>0</v>
      </c>
      <c r="G150" s="543">
        <f t="shared" si="2"/>
        <v>0</v>
      </c>
      <c r="H150" s="544">
        <f t="shared" si="3"/>
        <v>0</v>
      </c>
      <c r="I150" s="541">
        <f t="shared" si="4"/>
        <v>0</v>
      </c>
      <c r="J150" s="541"/>
      <c r="K150" s="561"/>
      <c r="L150" s="545"/>
      <c r="M150" s="561"/>
      <c r="N150" s="545"/>
      <c r="O150" s="545"/>
    </row>
    <row r="151" spans="3:15">
      <c r="C151" s="537">
        <f>IF(D95="","-",+C150+1)</f>
        <v>2062</v>
      </c>
      <c r="D151" s="495">
        <f t="shared" si="0"/>
        <v>0</v>
      </c>
      <c r="E151" s="538">
        <f t="shared" si="5"/>
        <v>0</v>
      </c>
      <c r="F151" s="495">
        <f t="shared" si="1"/>
        <v>0</v>
      </c>
      <c r="G151" s="543">
        <f t="shared" si="2"/>
        <v>0</v>
      </c>
      <c r="H151" s="544">
        <f t="shared" si="3"/>
        <v>0</v>
      </c>
      <c r="I151" s="541">
        <f t="shared" si="4"/>
        <v>0</v>
      </c>
      <c r="J151" s="541"/>
      <c r="K151" s="561"/>
      <c r="L151" s="545"/>
      <c r="M151" s="561"/>
      <c r="N151" s="545"/>
      <c r="O151" s="545"/>
    </row>
    <row r="152" spans="3:15">
      <c r="C152" s="537">
        <f>IF(D95="","-",+C151+1)</f>
        <v>2063</v>
      </c>
      <c r="D152" s="495">
        <f t="shared" si="0"/>
        <v>0</v>
      </c>
      <c r="E152" s="538">
        <f t="shared" si="5"/>
        <v>0</v>
      </c>
      <c r="F152" s="495">
        <f t="shared" si="1"/>
        <v>0</v>
      </c>
      <c r="G152" s="543">
        <f t="shared" si="2"/>
        <v>0</v>
      </c>
      <c r="H152" s="544">
        <f t="shared" si="3"/>
        <v>0</v>
      </c>
      <c r="I152" s="541">
        <f t="shared" si="4"/>
        <v>0</v>
      </c>
      <c r="J152" s="541"/>
      <c r="K152" s="561"/>
      <c r="L152" s="545"/>
      <c r="M152" s="561"/>
      <c r="N152" s="545"/>
      <c r="O152" s="545"/>
    </row>
    <row r="153" spans="3:15">
      <c r="C153" s="537">
        <f>IF(D95="","-",+C152+1)</f>
        <v>2064</v>
      </c>
      <c r="D153" s="495">
        <f t="shared" si="0"/>
        <v>0</v>
      </c>
      <c r="E153" s="538">
        <f t="shared" si="5"/>
        <v>0</v>
      </c>
      <c r="F153" s="495">
        <f t="shared" si="1"/>
        <v>0</v>
      </c>
      <c r="G153" s="543">
        <f t="shared" si="2"/>
        <v>0</v>
      </c>
      <c r="H153" s="544">
        <f t="shared" si="3"/>
        <v>0</v>
      </c>
      <c r="I153" s="541">
        <f t="shared" si="4"/>
        <v>0</v>
      </c>
      <c r="J153" s="541"/>
      <c r="K153" s="561"/>
      <c r="L153" s="545"/>
      <c r="M153" s="561"/>
      <c r="N153" s="545"/>
      <c r="O153" s="545"/>
    </row>
    <row r="154" spans="3:15">
      <c r="C154" s="537">
        <f>IF(D95="","-",+C153+1)</f>
        <v>2065</v>
      </c>
      <c r="D154" s="495">
        <f t="shared" si="0"/>
        <v>0</v>
      </c>
      <c r="E154" s="538">
        <f t="shared" si="5"/>
        <v>0</v>
      </c>
      <c r="F154" s="495">
        <f t="shared" si="1"/>
        <v>0</v>
      </c>
      <c r="G154" s="543">
        <f t="shared" si="2"/>
        <v>0</v>
      </c>
      <c r="H154" s="544">
        <f t="shared" si="3"/>
        <v>0</v>
      </c>
      <c r="I154" s="541">
        <f t="shared" si="4"/>
        <v>0</v>
      </c>
      <c r="J154" s="541"/>
      <c r="K154" s="561"/>
      <c r="L154" s="545"/>
      <c r="M154" s="561"/>
      <c r="N154" s="545"/>
      <c r="O154" s="545"/>
    </row>
    <row r="155" spans="3:15">
      <c r="C155" s="537">
        <f>IF(D95="","-",+C154+1)</f>
        <v>2066</v>
      </c>
      <c r="D155" s="495">
        <f t="shared" si="0"/>
        <v>0</v>
      </c>
      <c r="E155" s="538">
        <f t="shared" si="5"/>
        <v>0</v>
      </c>
      <c r="F155" s="495">
        <f t="shared" si="1"/>
        <v>0</v>
      </c>
      <c r="G155" s="543">
        <f t="shared" si="2"/>
        <v>0</v>
      </c>
      <c r="H155" s="544">
        <f t="shared" si="3"/>
        <v>0</v>
      </c>
      <c r="I155" s="541">
        <f t="shared" si="4"/>
        <v>0</v>
      </c>
      <c r="J155" s="541"/>
      <c r="K155" s="561"/>
      <c r="L155" s="545"/>
      <c r="M155" s="561"/>
      <c r="N155" s="545"/>
      <c r="O155" s="545"/>
    </row>
    <row r="156" spans="3:15">
      <c r="C156" s="537">
        <f>IF(D95="","-",+C155+1)</f>
        <v>2067</v>
      </c>
      <c r="D156" s="495">
        <f t="shared" si="0"/>
        <v>0</v>
      </c>
      <c r="E156" s="538">
        <f t="shared" si="5"/>
        <v>0</v>
      </c>
      <c r="F156" s="495">
        <f t="shared" si="1"/>
        <v>0</v>
      </c>
      <c r="G156" s="543">
        <f t="shared" si="2"/>
        <v>0</v>
      </c>
      <c r="H156" s="544">
        <f t="shared" si="3"/>
        <v>0</v>
      </c>
      <c r="I156" s="541">
        <f t="shared" si="4"/>
        <v>0</v>
      </c>
      <c r="J156" s="541"/>
      <c r="K156" s="561"/>
      <c r="L156" s="545"/>
      <c r="M156" s="561"/>
      <c r="N156" s="545"/>
      <c r="O156" s="545"/>
    </row>
    <row r="157" spans="3:15">
      <c r="C157" s="537">
        <f>IF(D95="","-",+C156+1)</f>
        <v>2068</v>
      </c>
      <c r="D157" s="495">
        <f t="shared" si="0"/>
        <v>0</v>
      </c>
      <c r="E157" s="538">
        <f t="shared" si="5"/>
        <v>0</v>
      </c>
      <c r="F157" s="495">
        <f t="shared" si="1"/>
        <v>0</v>
      </c>
      <c r="G157" s="543">
        <f t="shared" si="2"/>
        <v>0</v>
      </c>
      <c r="H157" s="544">
        <f t="shared" si="3"/>
        <v>0</v>
      </c>
      <c r="I157" s="541">
        <f t="shared" si="4"/>
        <v>0</v>
      </c>
      <c r="J157" s="541"/>
      <c r="K157" s="561"/>
      <c r="L157" s="545"/>
      <c r="M157" s="561"/>
      <c r="N157" s="545"/>
      <c r="O157" s="545"/>
    </row>
    <row r="158" spans="3:15">
      <c r="C158" s="537">
        <f>IF(D95="","-",+C157+1)</f>
        <v>2069</v>
      </c>
      <c r="D158" s="495">
        <f t="shared" si="0"/>
        <v>0</v>
      </c>
      <c r="E158" s="538">
        <f t="shared" si="5"/>
        <v>0</v>
      </c>
      <c r="F158" s="495">
        <f t="shared" si="1"/>
        <v>0</v>
      </c>
      <c r="G158" s="543">
        <f t="shared" si="2"/>
        <v>0</v>
      </c>
      <c r="H158" s="544">
        <f t="shared" si="3"/>
        <v>0</v>
      </c>
      <c r="I158" s="541">
        <f t="shared" si="4"/>
        <v>0</v>
      </c>
      <c r="J158" s="541"/>
      <c r="K158" s="561"/>
      <c r="L158" s="545"/>
      <c r="M158" s="561"/>
      <c r="N158" s="545"/>
      <c r="O158" s="545"/>
    </row>
    <row r="159" spans="3:15">
      <c r="C159" s="537">
        <f>IF(D95="","-",+C158+1)</f>
        <v>2070</v>
      </c>
      <c r="D159" s="495">
        <f t="shared" si="0"/>
        <v>0</v>
      </c>
      <c r="E159" s="538">
        <f t="shared" si="5"/>
        <v>0</v>
      </c>
      <c r="F159" s="495">
        <f t="shared" si="1"/>
        <v>0</v>
      </c>
      <c r="G159" s="543">
        <f t="shared" si="2"/>
        <v>0</v>
      </c>
      <c r="H159" s="544">
        <f t="shared" si="3"/>
        <v>0</v>
      </c>
      <c r="I159" s="541">
        <f t="shared" si="4"/>
        <v>0</v>
      </c>
      <c r="J159" s="541"/>
      <c r="K159" s="561"/>
      <c r="L159" s="545"/>
      <c r="M159" s="561"/>
      <c r="N159" s="545"/>
      <c r="O159" s="545"/>
    </row>
    <row r="160" spans="3:15" ht="13.5" thickBot="1">
      <c r="C160" s="547">
        <f>IF(D95="","-",+C159+1)</f>
        <v>2071</v>
      </c>
      <c r="D160" s="548">
        <f t="shared" si="0"/>
        <v>0</v>
      </c>
      <c r="E160" s="549">
        <f t="shared" si="5"/>
        <v>0</v>
      </c>
      <c r="F160" s="548">
        <f t="shared" si="1"/>
        <v>0</v>
      </c>
      <c r="G160" s="550">
        <f t="shared" si="2"/>
        <v>0</v>
      </c>
      <c r="H160" s="550">
        <f t="shared" si="3"/>
        <v>0</v>
      </c>
      <c r="I160" s="551">
        <f t="shared" si="4"/>
        <v>0</v>
      </c>
      <c r="J160" s="541"/>
      <c r="K160" s="562"/>
      <c r="L160" s="552"/>
      <c r="M160" s="562"/>
      <c r="N160" s="552"/>
      <c r="O160" s="552"/>
    </row>
    <row r="161" spans="1:16">
      <c r="C161" s="495" t="s">
        <v>91</v>
      </c>
      <c r="D161" s="492"/>
      <c r="E161" s="492">
        <f>SUM(E101:E160)</f>
        <v>6445563.9500000002</v>
      </c>
      <c r="F161" s="492"/>
      <c r="G161" s="492">
        <f>SUM(G101:G160)</f>
        <v>20151151.896791536</v>
      </c>
      <c r="H161" s="492">
        <f>SUM(H101:H160)</f>
        <v>20151151.896791536</v>
      </c>
      <c r="I161" s="492">
        <f>SUM(I101:I160)</f>
        <v>0</v>
      </c>
      <c r="J161" s="492"/>
      <c r="K161" s="492"/>
      <c r="L161" s="492"/>
      <c r="M161" s="492"/>
      <c r="N161" s="492"/>
      <c r="O161" s="3"/>
    </row>
    <row r="162" spans="1:16">
      <c r="D162" s="47"/>
      <c r="E162" s="3"/>
      <c r="F162" s="3"/>
      <c r="G162" s="3"/>
      <c r="H162" s="479"/>
      <c r="I162" s="479"/>
      <c r="J162" s="492"/>
      <c r="K162" s="479"/>
      <c r="L162" s="479"/>
      <c r="M162" s="479"/>
      <c r="N162" s="479"/>
      <c r="O162" s="3"/>
    </row>
    <row r="163" spans="1:16">
      <c r="C163" s="3" t="s">
        <v>13</v>
      </c>
      <c r="D163" s="47"/>
      <c r="E163" s="3"/>
      <c r="F163" s="3"/>
      <c r="G163" s="3"/>
      <c r="H163" s="479"/>
      <c r="I163" s="479"/>
      <c r="J163" s="492"/>
      <c r="K163" s="479"/>
      <c r="L163" s="479"/>
      <c r="M163" s="479"/>
      <c r="N163" s="479"/>
      <c r="O163" s="3"/>
    </row>
    <row r="164" spans="1:16">
      <c r="C164" s="3"/>
      <c r="D164" s="47"/>
      <c r="E164" s="3"/>
      <c r="F164" s="3"/>
      <c r="G164" s="3"/>
      <c r="H164" s="479"/>
      <c r="I164" s="479"/>
      <c r="J164" s="492"/>
      <c r="K164" s="479"/>
      <c r="L164" s="479"/>
      <c r="M164" s="479"/>
      <c r="N164" s="479"/>
      <c r="O164" s="3"/>
    </row>
    <row r="165" spans="1:16">
      <c r="C165" s="507" t="s">
        <v>14</v>
      </c>
      <c r="D165" s="495"/>
      <c r="E165" s="495"/>
      <c r="F165" s="495"/>
      <c r="G165" s="492"/>
      <c r="H165" s="492"/>
      <c r="I165" s="553"/>
      <c r="J165" s="553"/>
      <c r="K165" s="553"/>
      <c r="L165" s="553"/>
      <c r="M165" s="553"/>
      <c r="N165" s="553"/>
      <c r="O165" s="3"/>
    </row>
    <row r="166" spans="1:16">
      <c r="C166" s="496" t="s">
        <v>271</v>
      </c>
      <c r="D166" s="495"/>
      <c r="E166" s="495"/>
      <c r="F166" s="495"/>
      <c r="G166" s="492"/>
      <c r="H166" s="492"/>
      <c r="I166" s="553"/>
      <c r="J166" s="553"/>
      <c r="K166" s="553"/>
      <c r="L166" s="553"/>
      <c r="M166" s="553"/>
      <c r="N166" s="553"/>
      <c r="O166" s="3"/>
    </row>
    <row r="167" spans="1:16">
      <c r="C167" s="496" t="s">
        <v>92</v>
      </c>
      <c r="D167" s="495"/>
      <c r="E167" s="495"/>
      <c r="F167" s="495"/>
      <c r="G167" s="492"/>
      <c r="H167" s="492"/>
      <c r="I167" s="553"/>
      <c r="J167" s="553"/>
      <c r="K167" s="553"/>
      <c r="L167" s="553"/>
      <c r="M167" s="553"/>
      <c r="N167" s="553"/>
      <c r="O167" s="3"/>
    </row>
    <row r="168" spans="1:16">
      <c r="C168" s="496"/>
      <c r="D168" s="495"/>
      <c r="E168" s="495"/>
      <c r="F168" s="495"/>
      <c r="G168" s="492"/>
      <c r="H168" s="492"/>
      <c r="I168" s="553"/>
      <c r="J168" s="553"/>
      <c r="K168" s="553"/>
      <c r="L168" s="553"/>
      <c r="M168" s="553"/>
      <c r="N168" s="553"/>
      <c r="O168" s="3"/>
    </row>
    <row r="169" spans="1:16">
      <c r="C169" s="1185" t="s">
        <v>6</v>
      </c>
      <c r="D169" s="1185"/>
      <c r="E169" s="1185"/>
      <c r="F169" s="1185"/>
      <c r="G169" s="1185"/>
      <c r="H169" s="1185"/>
      <c r="I169" s="1185"/>
      <c r="J169" s="1185"/>
      <c r="K169" s="1185"/>
      <c r="L169" s="1185"/>
      <c r="M169" s="1185"/>
      <c r="N169" s="1185"/>
      <c r="O169" s="1185"/>
    </row>
    <row r="170" spans="1:16">
      <c r="C170" s="1185"/>
      <c r="D170" s="1185"/>
      <c r="E170" s="1185"/>
      <c r="F170" s="1185"/>
      <c r="G170" s="1185"/>
      <c r="H170" s="1185"/>
      <c r="I170" s="1185"/>
      <c r="J170" s="1185"/>
      <c r="K170" s="1185"/>
      <c r="L170" s="1185"/>
      <c r="M170" s="1185"/>
      <c r="N170" s="1185"/>
      <c r="O170" s="1185"/>
    </row>
    <row r="171" spans="1:16">
      <c r="C171" s="496"/>
      <c r="D171" s="495"/>
      <c r="E171" s="495"/>
      <c r="F171" s="495"/>
      <c r="G171" s="492"/>
      <c r="H171" s="492"/>
    </row>
    <row r="172" spans="1:16" ht="20.25">
      <c r="A172" s="436" t="str">
        <f>""&amp;A96&amp;" Worksheet J -  ATRR PROJECTED Calculation for PJM Projects Charged to Benefiting Zones"</f>
        <v xml:space="preserve"> Worksheet J -  ATRR PROJECTED Calculation for PJM Projects Charged to Benefiting Zones</v>
      </c>
      <c r="B172" s="3"/>
      <c r="C172" s="3"/>
      <c r="D172" s="47"/>
      <c r="E172" s="3"/>
      <c r="F172" s="478"/>
      <c r="G172" s="3"/>
      <c r="H172" s="479"/>
      <c r="K172" s="387"/>
      <c r="L172" s="387"/>
      <c r="M172" s="387"/>
      <c r="N172" s="387" t="str">
        <f>"Page "&amp;SUM(P$8:P172)&amp;" of "</f>
        <v xml:space="preserve">Page 3 of </v>
      </c>
      <c r="O172" s="437">
        <f>COUNT(P$8:P$56562)</f>
        <v>12</v>
      </c>
      <c r="P172">
        <v>1</v>
      </c>
    </row>
    <row r="173" spans="1:16">
      <c r="B173" s="3"/>
      <c r="C173" s="3"/>
      <c r="D173" s="47"/>
      <c r="E173" s="3"/>
      <c r="F173" s="3"/>
      <c r="G173" s="3"/>
      <c r="H173" s="479"/>
      <c r="I173" s="3"/>
      <c r="J173" s="3"/>
      <c r="K173" s="3"/>
      <c r="L173" s="3"/>
      <c r="M173" s="3"/>
      <c r="N173" s="3"/>
      <c r="O173" s="3"/>
    </row>
    <row r="174" spans="1:16" ht="18">
      <c r="B174" s="438" t="s">
        <v>472</v>
      </c>
      <c r="C174" s="119" t="s">
        <v>93</v>
      </c>
      <c r="D174" s="47"/>
      <c r="E174" s="3"/>
      <c r="F174" s="3"/>
      <c r="G174" s="3"/>
      <c r="H174" s="479"/>
      <c r="I174" s="479"/>
      <c r="J174" s="492"/>
      <c r="K174" s="479"/>
      <c r="L174" s="479"/>
      <c r="M174" s="479"/>
      <c r="N174" s="479"/>
      <c r="O174" s="3"/>
    </row>
    <row r="175" spans="1:16" ht="18.75">
      <c r="B175" s="438"/>
      <c r="C175" s="6"/>
      <c r="D175" s="47"/>
      <c r="E175" s="3"/>
      <c r="F175" s="3"/>
      <c r="G175" s="3"/>
      <c r="H175" s="479"/>
      <c r="I175" s="479"/>
      <c r="J175" s="492"/>
      <c r="K175" s="479"/>
      <c r="L175" s="479"/>
      <c r="M175" s="479"/>
      <c r="N175" s="479"/>
      <c r="O175" s="3"/>
    </row>
    <row r="176" spans="1:16" ht="18.75">
      <c r="B176" s="438"/>
      <c r="C176" s="6" t="s">
        <v>94</v>
      </c>
      <c r="D176" s="47"/>
      <c r="E176" s="3"/>
      <c r="F176" s="3"/>
      <c r="G176" s="3"/>
      <c r="H176" s="479"/>
      <c r="I176" s="479"/>
      <c r="J176" s="492"/>
      <c r="K176" s="479"/>
      <c r="L176" s="479"/>
      <c r="M176" s="479"/>
      <c r="N176" s="479"/>
      <c r="O176" s="3"/>
    </row>
    <row r="177" spans="2:15" ht="15.75" thickBot="1">
      <c r="C177" s="128"/>
      <c r="D177" s="47"/>
      <c r="E177" s="3"/>
      <c r="F177" s="3"/>
      <c r="G177" s="3"/>
      <c r="H177" s="479"/>
      <c r="I177" s="479"/>
      <c r="J177" s="492"/>
      <c r="K177" s="479"/>
      <c r="L177" s="479"/>
      <c r="M177" s="479"/>
      <c r="N177" s="479"/>
      <c r="O177" s="3"/>
    </row>
    <row r="178" spans="2:15" ht="15.75">
      <c r="C178" s="440" t="s">
        <v>95</v>
      </c>
      <c r="D178" s="47"/>
      <c r="E178" s="3"/>
      <c r="F178" s="3"/>
      <c r="G178" s="555"/>
      <c r="H178" s="3" t="s">
        <v>74</v>
      </c>
      <c r="I178" s="3"/>
      <c r="J178" s="3"/>
      <c r="K178" s="498" t="s">
        <v>99</v>
      </c>
      <c r="L178" s="499"/>
      <c r="M178" s="500"/>
      <c r="N178" s="501">
        <f>IF(I184=0,0,VLOOKUP(I184,C191:O250,5))</f>
        <v>1515459.9371602647</v>
      </c>
      <c r="O178" s="3"/>
    </row>
    <row r="179" spans="2:15" ht="15.75">
      <c r="C179" s="440"/>
      <c r="D179" s="47"/>
      <c r="E179" s="3"/>
      <c r="F179" s="3"/>
      <c r="G179" s="3"/>
      <c r="H179" s="502"/>
      <c r="I179" s="502"/>
      <c r="J179" s="503"/>
      <c r="K179" s="504" t="s">
        <v>100</v>
      </c>
      <c r="L179" s="505"/>
      <c r="M179" s="3"/>
      <c r="N179" s="506">
        <f>IF(I184=0,0,VLOOKUP(I184,C191:O250,6))</f>
        <v>1515459.9371602647</v>
      </c>
      <c r="O179" s="3"/>
    </row>
    <row r="180" spans="2:15" ht="13.5" thickBot="1">
      <c r="C180" s="507" t="s">
        <v>96</v>
      </c>
      <c r="D180" s="1196" t="s">
        <v>812</v>
      </c>
      <c r="E180" s="1196"/>
      <c r="F180" s="1196"/>
      <c r="G180" s="1196"/>
      <c r="H180" s="1196"/>
      <c r="I180" s="1196"/>
      <c r="J180" s="492"/>
      <c r="K180" s="508" t="s">
        <v>238</v>
      </c>
      <c r="L180" s="509"/>
      <c r="M180" s="509"/>
      <c r="N180" s="510">
        <f>+N179-N178</f>
        <v>0</v>
      </c>
      <c r="O180" s="3"/>
    </row>
    <row r="181" spans="2:15">
      <c r="C181" s="511"/>
      <c r="D181" s="1196"/>
      <c r="E181" s="1196"/>
      <c r="F181" s="1196"/>
      <c r="G181" s="1196"/>
      <c r="H181" s="1196"/>
      <c r="I181" s="1196"/>
      <c r="J181" s="492"/>
      <c r="K181" s="479"/>
      <c r="L181" s="479"/>
      <c r="M181" s="479"/>
      <c r="N181" s="479"/>
      <c r="O181" s="3"/>
    </row>
    <row r="182" spans="2:15" ht="13.5" thickBot="1">
      <c r="C182" s="511"/>
      <c r="D182" s="3"/>
      <c r="E182" s="513"/>
      <c r="F182" s="513"/>
      <c r="G182" s="513"/>
      <c r="H182" s="513"/>
      <c r="I182" s="513"/>
      <c r="J182" s="513"/>
      <c r="K182" s="513"/>
      <c r="L182" s="513"/>
      <c r="M182" s="513"/>
      <c r="N182" s="513"/>
      <c r="O182" s="3"/>
    </row>
    <row r="183" spans="2:15" ht="13.5" thickBot="1">
      <c r="C183" s="514" t="s">
        <v>97</v>
      </c>
      <c r="D183" s="515"/>
      <c r="E183" s="515"/>
      <c r="F183" s="515"/>
      <c r="G183" s="515"/>
      <c r="H183" s="515"/>
      <c r="I183" s="516"/>
      <c r="K183" s="3"/>
      <c r="L183" s="3"/>
      <c r="M183" s="3"/>
      <c r="N183" s="3"/>
      <c r="O183" s="3"/>
    </row>
    <row r="184" spans="2:15" ht="15">
      <c r="C184" s="517" t="s">
        <v>75</v>
      </c>
      <c r="D184" s="557">
        <v>15264783.67</v>
      </c>
      <c r="E184" s="3" t="s">
        <v>76</v>
      </c>
      <c r="G184" s="47"/>
      <c r="H184" s="47"/>
      <c r="I184" s="518">
        <f>$L$26</f>
        <v>2026</v>
      </c>
      <c r="J184" s="70"/>
      <c r="K184" s="1186" t="s">
        <v>247</v>
      </c>
      <c r="L184" s="1186"/>
      <c r="M184" s="1186"/>
      <c r="N184" s="1186"/>
      <c r="O184" s="1186"/>
    </row>
    <row r="185" spans="2:15">
      <c r="C185" s="517" t="s">
        <v>78</v>
      </c>
      <c r="D185" s="558">
        <v>2013</v>
      </c>
      <c r="E185" s="517" t="s">
        <v>79</v>
      </c>
      <c r="F185" s="47"/>
      <c r="H185"/>
      <c r="I185" s="559">
        <f>IF(G178="",0,$F$17)</f>
        <v>0</v>
      </c>
      <c r="J185" s="519"/>
      <c r="K185" s="492" t="s">
        <v>247</v>
      </c>
    </row>
    <row r="186" spans="2:15">
      <c r="C186" s="517" t="s">
        <v>80</v>
      </c>
      <c r="D186" s="557">
        <v>6</v>
      </c>
      <c r="E186" s="517" t="s">
        <v>81</v>
      </c>
      <c r="F186" s="47"/>
      <c r="H186"/>
      <c r="I186" s="520">
        <f>$G$70</f>
        <v>0.11191367266500543</v>
      </c>
      <c r="J186" s="478"/>
      <c r="K186" t="str">
        <f>"          INPUT PROJECTED ARR (WITH &amp; WITHOUT INCENTIVES) FROM EACH PRIOR YEAR"</f>
        <v xml:space="preserve">          INPUT PROJECTED ARR (WITH &amp; WITHOUT INCENTIVES) FROM EACH PRIOR YEAR</v>
      </c>
    </row>
    <row r="187" spans="2:15">
      <c r="C187" s="517" t="s">
        <v>82</v>
      </c>
      <c r="D187" s="521">
        <f>$G$79</f>
        <v>36</v>
      </c>
      <c r="E187" s="517" t="s">
        <v>83</v>
      </c>
      <c r="F187" s="47"/>
      <c r="H187"/>
      <c r="I187" s="520">
        <f>IF(G178="",I186,$G$69)</f>
        <v>0.11191367266500543</v>
      </c>
      <c r="J187" s="478"/>
      <c r="K187" t="s">
        <v>160</v>
      </c>
    </row>
    <row r="188" spans="2:15" ht="13.5" thickBot="1">
      <c r="C188" s="517" t="s">
        <v>84</v>
      </c>
      <c r="D188" s="556" t="s">
        <v>810</v>
      </c>
      <c r="E188" s="522" t="s">
        <v>85</v>
      </c>
      <c r="F188" s="523"/>
      <c r="G188" s="524"/>
      <c r="H188" s="524"/>
      <c r="I188" s="510">
        <f>IF(D184=0,0,D184/D187)</f>
        <v>424021.7686111111</v>
      </c>
      <c r="J188" s="492"/>
      <c r="K188" s="492" t="s">
        <v>166</v>
      </c>
      <c r="L188" s="492"/>
      <c r="M188" s="492"/>
      <c r="N188" s="492"/>
      <c r="O188" s="3"/>
    </row>
    <row r="189" spans="2:15" ht="51">
      <c r="B189" s="439"/>
      <c r="C189" s="525" t="s">
        <v>75</v>
      </c>
      <c r="D189" s="526" t="s">
        <v>86</v>
      </c>
      <c r="E189" s="527" t="s">
        <v>87</v>
      </c>
      <c r="F189" s="526" t="s">
        <v>88</v>
      </c>
      <c r="G189" s="527" t="s">
        <v>159</v>
      </c>
      <c r="H189" s="528" t="s">
        <v>159</v>
      </c>
      <c r="I189" s="525" t="s">
        <v>98</v>
      </c>
      <c r="J189" s="529"/>
      <c r="K189" s="527" t="s">
        <v>168</v>
      </c>
      <c r="L189" s="530"/>
      <c r="M189" s="527" t="s">
        <v>168</v>
      </c>
      <c r="N189" s="530"/>
      <c r="O189" s="530"/>
    </row>
    <row r="190" spans="2:15" ht="13.5" thickBot="1">
      <c r="C190" s="531" t="s">
        <v>475</v>
      </c>
      <c r="D190" s="532" t="s">
        <v>476</v>
      </c>
      <c r="E190" s="531" t="s">
        <v>369</v>
      </c>
      <c r="F190" s="532" t="s">
        <v>476</v>
      </c>
      <c r="G190" s="533" t="s">
        <v>101</v>
      </c>
      <c r="H190" s="534" t="s">
        <v>103</v>
      </c>
      <c r="I190" s="531" t="s">
        <v>15</v>
      </c>
      <c r="J190" s="535"/>
      <c r="K190" s="533" t="s">
        <v>90</v>
      </c>
      <c r="L190" s="536"/>
      <c r="M190" s="533" t="s">
        <v>103</v>
      </c>
      <c r="N190" s="536"/>
      <c r="O190" s="536"/>
    </row>
    <row r="191" spans="2:15">
      <c r="C191" s="537">
        <f>IF(D185= "","-",D185)</f>
        <v>2013</v>
      </c>
      <c r="D191" s="495">
        <f>+D184</f>
        <v>15264783.67</v>
      </c>
      <c r="E191" s="538">
        <f>+I188/12*(12-D186)</f>
        <v>212010.88430555555</v>
      </c>
      <c r="F191" s="495">
        <f>+D191-E191</f>
        <v>15052772.785694445</v>
      </c>
      <c r="G191" s="705">
        <f>+$I$96*((D191+F191)/2)+E191</f>
        <v>1908485.4288982607</v>
      </c>
      <c r="H191" s="706">
        <f>$I$97*((D191+F191)/2)+E191</f>
        <v>1908485.4288982607</v>
      </c>
      <c r="I191" s="541">
        <f>+H191-G191</f>
        <v>0</v>
      </c>
      <c r="J191" s="541"/>
      <c r="K191" s="560">
        <v>1578782</v>
      </c>
      <c r="L191" s="542"/>
      <c r="M191" s="560">
        <v>1578782</v>
      </c>
      <c r="N191" s="542"/>
      <c r="O191" s="542"/>
    </row>
    <row r="192" spans="2:15">
      <c r="C192" s="537">
        <f>IF(D185="","-",+C191+1)</f>
        <v>2014</v>
      </c>
      <c r="D192" s="495">
        <f t="shared" ref="D192:D250" si="6">F191</f>
        <v>15052772.785694445</v>
      </c>
      <c r="E192" s="538">
        <f>IF(D192&gt;$I$188,$I$188,D192)</f>
        <v>424021.7686111111</v>
      </c>
      <c r="F192" s="495">
        <f t="shared" ref="F192:F250" si="7">+D192-E192</f>
        <v>14628751.017083334</v>
      </c>
      <c r="G192" s="543">
        <f t="shared" ref="G192:G250" si="8">+$I$96*((D192+F192)/2)+E192</f>
        <v>2084905.938142431</v>
      </c>
      <c r="H192" s="544">
        <f t="shared" ref="H192:H250" si="9">$I$97*((D192+F192)/2)+E192</f>
        <v>2084905.938142431</v>
      </c>
      <c r="I192" s="541">
        <f t="shared" ref="I192:I250" si="10">+H192-G192</f>
        <v>0</v>
      </c>
      <c r="J192" s="541"/>
      <c r="K192" s="561">
        <v>1735811</v>
      </c>
      <c r="L192" s="545"/>
      <c r="M192" s="561">
        <v>1735811</v>
      </c>
      <c r="N192" s="545"/>
      <c r="O192" s="545"/>
    </row>
    <row r="193" spans="3:15">
      <c r="C193" s="537">
        <f>IF(D185="","-",+C192+1)</f>
        <v>2015</v>
      </c>
      <c r="D193" s="495">
        <f t="shared" si="6"/>
        <v>14628751.017083334</v>
      </c>
      <c r="E193" s="538">
        <f t="shared" ref="E193:E250" si="11">IF(D193&gt;$I$188,$I$188,D193)</f>
        <v>424021.7686111111</v>
      </c>
      <c r="F193" s="495">
        <f t="shared" si="7"/>
        <v>14204729.248472223</v>
      </c>
      <c r="G193" s="543">
        <f t="shared" si="8"/>
        <v>2037452.1047272505</v>
      </c>
      <c r="H193" s="544">
        <f t="shared" si="9"/>
        <v>2037452.1047272505</v>
      </c>
      <c r="I193" s="541">
        <f t="shared" si="10"/>
        <v>0</v>
      </c>
      <c r="J193" s="541"/>
      <c r="K193" s="561">
        <v>1857418</v>
      </c>
      <c r="L193" s="545"/>
      <c r="M193" s="561">
        <v>1857418</v>
      </c>
      <c r="N193" s="545"/>
      <c r="O193" s="545"/>
    </row>
    <row r="194" spans="3:15">
      <c r="C194" s="537">
        <f>IF(D185="","-",+C193+1)</f>
        <v>2016</v>
      </c>
      <c r="D194" s="495">
        <f t="shared" si="6"/>
        <v>14204729.248472223</v>
      </c>
      <c r="E194" s="538">
        <f t="shared" si="11"/>
        <v>424021.7686111111</v>
      </c>
      <c r="F194" s="495">
        <f t="shared" si="7"/>
        <v>13780707.479861112</v>
      </c>
      <c r="G194" s="543">
        <f t="shared" si="8"/>
        <v>1989998.2713120696</v>
      </c>
      <c r="H194" s="544">
        <f t="shared" si="9"/>
        <v>1989998.2713120696</v>
      </c>
      <c r="I194" s="541">
        <f t="shared" si="10"/>
        <v>0</v>
      </c>
      <c r="J194" s="541"/>
      <c r="K194" s="561">
        <v>1808629</v>
      </c>
      <c r="L194" s="545"/>
      <c r="M194" s="561">
        <v>1808629</v>
      </c>
      <c r="N194" s="545"/>
      <c r="O194" s="545"/>
    </row>
    <row r="195" spans="3:15">
      <c r="C195" s="537">
        <f>IF(D185="","-",+C194+1)</f>
        <v>2017</v>
      </c>
      <c r="D195" s="495">
        <f t="shared" si="6"/>
        <v>13780707.479861112</v>
      </c>
      <c r="E195" s="538">
        <f t="shared" si="11"/>
        <v>424021.7686111111</v>
      </c>
      <c r="F195" s="495">
        <f t="shared" si="7"/>
        <v>13356685.711250002</v>
      </c>
      <c r="G195" s="543">
        <f t="shared" si="8"/>
        <v>1942544.4378968892</v>
      </c>
      <c r="H195" s="544">
        <f t="shared" si="9"/>
        <v>1942544.4378968892</v>
      </c>
      <c r="I195" s="541">
        <f t="shared" si="10"/>
        <v>0</v>
      </c>
      <c r="J195" s="541"/>
      <c r="K195" s="561">
        <v>1924179</v>
      </c>
      <c r="L195" s="545"/>
      <c r="M195" s="561">
        <v>1924179</v>
      </c>
      <c r="N195" s="545"/>
      <c r="O195" s="545"/>
    </row>
    <row r="196" spans="3:15">
      <c r="C196" s="943">
        <f>IF(D185="","-",+C195+1)</f>
        <v>2018</v>
      </c>
      <c r="D196" s="495">
        <f t="shared" si="6"/>
        <v>13356685.711250002</v>
      </c>
      <c r="E196" s="538">
        <f t="shared" si="11"/>
        <v>424021.7686111111</v>
      </c>
      <c r="F196" s="495">
        <f t="shared" si="7"/>
        <v>12932663.942638891</v>
      </c>
      <c r="G196" s="543">
        <f t="shared" si="8"/>
        <v>1895090.6044817087</v>
      </c>
      <c r="H196" s="544">
        <f t="shared" si="9"/>
        <v>1895090.6044817087</v>
      </c>
      <c r="I196" s="541">
        <f t="shared" si="10"/>
        <v>0</v>
      </c>
      <c r="J196" s="541"/>
      <c r="K196" s="561">
        <v>1648242</v>
      </c>
      <c r="L196" s="545"/>
      <c r="M196" s="561">
        <v>1648242</v>
      </c>
      <c r="N196" s="545"/>
      <c r="O196" s="545"/>
    </row>
    <row r="197" spans="3:15">
      <c r="C197" s="537">
        <f>IF(D184="","-",+C196+1)</f>
        <v>2019</v>
      </c>
      <c r="D197" s="495">
        <f t="shared" si="6"/>
        <v>12932663.942638891</v>
      </c>
      <c r="E197" s="538">
        <f t="shared" si="11"/>
        <v>424021.7686111111</v>
      </c>
      <c r="F197" s="495">
        <f t="shared" si="7"/>
        <v>12508642.17402778</v>
      </c>
      <c r="G197" s="543">
        <f t="shared" si="8"/>
        <v>1847636.7710665283</v>
      </c>
      <c r="H197" s="544">
        <f t="shared" si="9"/>
        <v>1847636.7710665283</v>
      </c>
      <c r="I197" s="541">
        <f t="shared" si="10"/>
        <v>0</v>
      </c>
      <c r="J197" s="541"/>
      <c r="K197" s="561">
        <v>1728140.7933855411</v>
      </c>
      <c r="L197" s="545"/>
      <c r="M197" s="561">
        <v>1728140.7933855411</v>
      </c>
      <c r="N197" s="545"/>
      <c r="O197" s="545"/>
    </row>
    <row r="198" spans="3:15">
      <c r="C198" s="537">
        <f>IF(D184="","-",+C197+1)</f>
        <v>2020</v>
      </c>
      <c r="D198" s="495">
        <f t="shared" si="6"/>
        <v>12508642.17402778</v>
      </c>
      <c r="E198" s="538">
        <f t="shared" si="11"/>
        <v>424021.7686111111</v>
      </c>
      <c r="F198" s="495">
        <f t="shared" si="7"/>
        <v>12084620.405416669</v>
      </c>
      <c r="G198" s="543">
        <f t="shared" si="8"/>
        <v>1800182.9376513478</v>
      </c>
      <c r="H198" s="544">
        <f t="shared" si="9"/>
        <v>1800182.9376513478</v>
      </c>
      <c r="I198" s="541">
        <f t="shared" si="10"/>
        <v>0</v>
      </c>
      <c r="J198" s="541"/>
      <c r="K198" s="561">
        <v>1748229.4747008712</v>
      </c>
      <c r="L198" s="545"/>
      <c r="M198" s="561">
        <v>1748229.4747008712</v>
      </c>
      <c r="N198" s="545"/>
      <c r="O198" s="545"/>
    </row>
    <row r="199" spans="3:15">
      <c r="C199" s="537">
        <f>IF(D184="","-",+C198+1)</f>
        <v>2021</v>
      </c>
      <c r="D199" s="495">
        <f t="shared" si="6"/>
        <v>12084620.405416669</v>
      </c>
      <c r="E199" s="538">
        <f t="shared" si="11"/>
        <v>424021.7686111111</v>
      </c>
      <c r="F199" s="495">
        <f t="shared" si="7"/>
        <v>11660598.636805559</v>
      </c>
      <c r="G199" s="543">
        <f t="shared" si="8"/>
        <v>1752729.1042361674</v>
      </c>
      <c r="H199" s="544">
        <f t="shared" si="9"/>
        <v>1752729.1042361674</v>
      </c>
      <c r="I199" s="541">
        <f t="shared" si="10"/>
        <v>0</v>
      </c>
      <c r="J199" s="541"/>
      <c r="K199" s="561">
        <v>1710359.8007120532</v>
      </c>
      <c r="L199" s="545"/>
      <c r="M199" s="561">
        <v>1710359.8007120532</v>
      </c>
      <c r="N199" s="545"/>
      <c r="O199" s="545"/>
    </row>
    <row r="200" spans="3:15">
      <c r="C200" s="537">
        <f>IF(D184="","-",+C199+1)</f>
        <v>2022</v>
      </c>
      <c r="D200" s="495">
        <f t="shared" si="6"/>
        <v>11660598.636805559</v>
      </c>
      <c r="E200" s="538">
        <f t="shared" si="11"/>
        <v>424021.7686111111</v>
      </c>
      <c r="F200" s="495">
        <f t="shared" si="7"/>
        <v>11236576.868194448</v>
      </c>
      <c r="G200" s="543">
        <f t="shared" si="8"/>
        <v>1705275.2708209865</v>
      </c>
      <c r="H200" s="544">
        <f t="shared" si="9"/>
        <v>1705275.2708209865</v>
      </c>
      <c r="I200" s="541">
        <f t="shared" si="10"/>
        <v>0</v>
      </c>
      <c r="J200" s="541"/>
      <c r="K200" s="561">
        <v>1732119.5321513379</v>
      </c>
      <c r="L200" s="545"/>
      <c r="M200" s="561">
        <v>1732119.5321513379</v>
      </c>
      <c r="N200" s="545"/>
      <c r="O200" s="545"/>
    </row>
    <row r="201" spans="3:15">
      <c r="C201" s="537">
        <f>IF(D184="","-",+C200+1)</f>
        <v>2023</v>
      </c>
      <c r="D201" s="495">
        <f t="shared" si="6"/>
        <v>11236576.868194448</v>
      </c>
      <c r="E201" s="538">
        <f t="shared" si="11"/>
        <v>424021.7686111111</v>
      </c>
      <c r="F201" s="495">
        <f t="shared" si="7"/>
        <v>10812555.099583337</v>
      </c>
      <c r="G201" s="543">
        <f t="shared" si="8"/>
        <v>1657821.437405806</v>
      </c>
      <c r="H201" s="544">
        <f t="shared" si="9"/>
        <v>1657821.437405806</v>
      </c>
      <c r="I201" s="541">
        <f t="shared" si="10"/>
        <v>0</v>
      </c>
      <c r="J201" s="541"/>
      <c r="K201" s="561">
        <v>1684193.9974422143</v>
      </c>
      <c r="L201" s="545"/>
      <c r="M201" s="561">
        <v>1684193.9974422143</v>
      </c>
      <c r="N201" s="545"/>
      <c r="O201" s="545"/>
    </row>
    <row r="202" spans="3:15">
      <c r="C202" s="537">
        <f>IF(D185="","-",+C201+1)</f>
        <v>2024</v>
      </c>
      <c r="D202" s="495">
        <f t="shared" si="6"/>
        <v>10812555.099583337</v>
      </c>
      <c r="E202" s="538">
        <f t="shared" si="11"/>
        <v>424021.7686111111</v>
      </c>
      <c r="F202" s="495">
        <f t="shared" si="7"/>
        <v>10388533.330972226</v>
      </c>
      <c r="G202" s="543">
        <f t="shared" si="8"/>
        <v>1610367.6039906256</v>
      </c>
      <c r="H202" s="544">
        <f t="shared" si="9"/>
        <v>1610367.6039906256</v>
      </c>
      <c r="I202" s="541">
        <f t="shared" si="10"/>
        <v>0</v>
      </c>
      <c r="J202" s="541"/>
      <c r="K202" s="561">
        <v>1626091.7563987519</v>
      </c>
      <c r="L202" s="545"/>
      <c r="M202" s="561">
        <v>1626091.7563987519</v>
      </c>
      <c r="N202" s="545"/>
      <c r="O202" s="545"/>
    </row>
    <row r="203" spans="3:15">
      <c r="C203" s="537">
        <f>IF(D185="","-",+C202+1)</f>
        <v>2025</v>
      </c>
      <c r="D203" s="495">
        <f t="shared" si="6"/>
        <v>10388533.330972226</v>
      </c>
      <c r="E203" s="538">
        <f t="shared" si="11"/>
        <v>424021.7686111111</v>
      </c>
      <c r="F203" s="495">
        <f t="shared" si="7"/>
        <v>9964511.5623611156</v>
      </c>
      <c r="G203" s="543">
        <f t="shared" si="8"/>
        <v>1562913.7705754451</v>
      </c>
      <c r="H203" s="544">
        <f t="shared" si="9"/>
        <v>1562913.7705754451</v>
      </c>
      <c r="I203" s="541">
        <f t="shared" si="10"/>
        <v>0</v>
      </c>
      <c r="J203" s="541"/>
      <c r="K203" s="561">
        <v>1593553.0819934183</v>
      </c>
      <c r="L203" s="545"/>
      <c r="M203" s="561">
        <v>1593553.0819934183</v>
      </c>
      <c r="N203" s="546"/>
      <c r="O203" s="545"/>
    </row>
    <row r="204" spans="3:15">
      <c r="C204" s="935">
        <f>IF(D185="","-",+C203+1)</f>
        <v>2026</v>
      </c>
      <c r="D204" s="495">
        <f t="shared" si="6"/>
        <v>9964511.5623611156</v>
      </c>
      <c r="E204" s="538">
        <f t="shared" si="11"/>
        <v>424021.7686111111</v>
      </c>
      <c r="F204" s="495">
        <f t="shared" si="7"/>
        <v>9540489.7937500048</v>
      </c>
      <c r="G204" s="543">
        <f t="shared" si="8"/>
        <v>1515459.9371602647</v>
      </c>
      <c r="H204" s="544">
        <f t="shared" si="9"/>
        <v>1515459.9371602647</v>
      </c>
      <c r="I204" s="541">
        <f t="shared" si="10"/>
        <v>0</v>
      </c>
      <c r="J204" s="541"/>
      <c r="K204" s="561"/>
      <c r="L204" s="545"/>
      <c r="M204" s="561"/>
      <c r="N204" s="545"/>
      <c r="O204" s="545"/>
    </row>
    <row r="205" spans="3:15">
      <c r="C205" s="537">
        <f>IF(D185="","-",+C204+1)</f>
        <v>2027</v>
      </c>
      <c r="D205" s="495">
        <f t="shared" si="6"/>
        <v>9540489.7937500048</v>
      </c>
      <c r="E205" s="538">
        <f t="shared" si="11"/>
        <v>424021.7686111111</v>
      </c>
      <c r="F205" s="495">
        <f t="shared" si="7"/>
        <v>9116468.0251388941</v>
      </c>
      <c r="G205" s="543">
        <f t="shared" si="8"/>
        <v>1468006.103745084</v>
      </c>
      <c r="H205" s="544">
        <f t="shared" si="9"/>
        <v>1468006.103745084</v>
      </c>
      <c r="I205" s="541">
        <f t="shared" si="10"/>
        <v>0</v>
      </c>
      <c r="J205" s="541"/>
      <c r="K205" s="561"/>
      <c r="L205" s="545"/>
      <c r="M205" s="561"/>
      <c r="N205" s="545"/>
      <c r="O205" s="545"/>
    </row>
    <row r="206" spans="3:15">
      <c r="C206" s="537">
        <f>IF(D185="","-",+C205+1)</f>
        <v>2028</v>
      </c>
      <c r="D206" s="495">
        <f t="shared" si="6"/>
        <v>9116468.0251388941</v>
      </c>
      <c r="E206" s="538">
        <f t="shared" si="11"/>
        <v>424021.7686111111</v>
      </c>
      <c r="F206" s="495">
        <f t="shared" si="7"/>
        <v>8692446.2565277833</v>
      </c>
      <c r="G206" s="543">
        <f t="shared" si="8"/>
        <v>1420552.2703299036</v>
      </c>
      <c r="H206" s="544">
        <f t="shared" si="9"/>
        <v>1420552.2703299036</v>
      </c>
      <c r="I206" s="541">
        <f t="shared" si="10"/>
        <v>0</v>
      </c>
      <c r="J206" s="541"/>
      <c r="K206" s="561"/>
      <c r="L206" s="545"/>
      <c r="M206" s="561"/>
      <c r="N206" s="545"/>
      <c r="O206" s="545"/>
    </row>
    <row r="207" spans="3:15">
      <c r="C207" s="537">
        <f>IF(D185="","-",+C206+1)</f>
        <v>2029</v>
      </c>
      <c r="D207" s="495">
        <f t="shared" si="6"/>
        <v>8692446.2565277833</v>
      </c>
      <c r="E207" s="538">
        <f t="shared" si="11"/>
        <v>424021.7686111111</v>
      </c>
      <c r="F207" s="495">
        <f t="shared" si="7"/>
        <v>8268424.4879166726</v>
      </c>
      <c r="G207" s="543">
        <f t="shared" si="8"/>
        <v>1373098.4369147229</v>
      </c>
      <c r="H207" s="544">
        <f t="shared" si="9"/>
        <v>1373098.4369147229</v>
      </c>
      <c r="I207" s="541">
        <f t="shared" si="10"/>
        <v>0</v>
      </c>
      <c r="J207" s="541"/>
      <c r="K207" s="561"/>
      <c r="L207" s="545"/>
      <c r="M207" s="561"/>
      <c r="N207" s="545"/>
      <c r="O207" s="545"/>
    </row>
    <row r="208" spans="3:15">
      <c r="C208" s="537">
        <f>IF(D185="","-",+C207+1)</f>
        <v>2030</v>
      </c>
      <c r="D208" s="495">
        <f t="shared" si="6"/>
        <v>8268424.4879166726</v>
      </c>
      <c r="E208" s="538">
        <f t="shared" si="11"/>
        <v>424021.7686111111</v>
      </c>
      <c r="F208" s="495">
        <f t="shared" si="7"/>
        <v>7844402.7193055619</v>
      </c>
      <c r="G208" s="543">
        <f t="shared" si="8"/>
        <v>1325644.6034995425</v>
      </c>
      <c r="H208" s="544">
        <f t="shared" si="9"/>
        <v>1325644.6034995425</v>
      </c>
      <c r="I208" s="541">
        <f t="shared" si="10"/>
        <v>0</v>
      </c>
      <c r="J208" s="541"/>
      <c r="K208" s="561"/>
      <c r="L208" s="545"/>
      <c r="M208" s="561"/>
      <c r="N208" s="545"/>
      <c r="O208" s="545"/>
    </row>
    <row r="209" spans="3:15">
      <c r="C209" s="537">
        <f>IF(D185="","-",+C208+1)</f>
        <v>2031</v>
      </c>
      <c r="D209" s="495">
        <f t="shared" si="6"/>
        <v>7844402.7193055619</v>
      </c>
      <c r="E209" s="538">
        <f t="shared" si="11"/>
        <v>424021.7686111111</v>
      </c>
      <c r="F209" s="495">
        <f t="shared" si="7"/>
        <v>7420380.9506944511</v>
      </c>
      <c r="G209" s="543">
        <f t="shared" si="8"/>
        <v>1278190.770084362</v>
      </c>
      <c r="H209" s="544">
        <f t="shared" si="9"/>
        <v>1278190.770084362</v>
      </c>
      <c r="I209" s="541">
        <f t="shared" si="10"/>
        <v>0</v>
      </c>
      <c r="J209" s="541"/>
      <c r="K209" s="561"/>
      <c r="L209" s="545"/>
      <c r="M209" s="561"/>
      <c r="N209" s="545"/>
      <c r="O209" s="545"/>
    </row>
    <row r="210" spans="3:15">
      <c r="C210" s="537">
        <f>IF(D185="","-",+C209+1)</f>
        <v>2032</v>
      </c>
      <c r="D210" s="495">
        <f t="shared" si="6"/>
        <v>7420380.9506944511</v>
      </c>
      <c r="E210" s="538">
        <f t="shared" si="11"/>
        <v>424021.7686111111</v>
      </c>
      <c r="F210" s="495">
        <f t="shared" si="7"/>
        <v>6996359.1820833404</v>
      </c>
      <c r="G210" s="543">
        <f t="shared" si="8"/>
        <v>1230736.9366691816</v>
      </c>
      <c r="H210" s="544">
        <f t="shared" si="9"/>
        <v>1230736.9366691816</v>
      </c>
      <c r="I210" s="541">
        <f t="shared" si="10"/>
        <v>0</v>
      </c>
      <c r="J210" s="541"/>
      <c r="K210" s="561"/>
      <c r="L210" s="545"/>
      <c r="M210" s="561"/>
      <c r="N210" s="545"/>
      <c r="O210" s="545"/>
    </row>
    <row r="211" spans="3:15">
      <c r="C211" s="537">
        <f>IF(D185="","-",+C210+1)</f>
        <v>2033</v>
      </c>
      <c r="D211" s="495">
        <f t="shared" si="6"/>
        <v>6996359.1820833404</v>
      </c>
      <c r="E211" s="538">
        <f t="shared" si="11"/>
        <v>424021.7686111111</v>
      </c>
      <c r="F211" s="495">
        <f t="shared" si="7"/>
        <v>6572337.4134722296</v>
      </c>
      <c r="G211" s="543">
        <f t="shared" si="8"/>
        <v>1183283.1032540009</v>
      </c>
      <c r="H211" s="544">
        <f t="shared" si="9"/>
        <v>1183283.1032540009</v>
      </c>
      <c r="I211" s="541">
        <f t="shared" si="10"/>
        <v>0</v>
      </c>
      <c r="J211" s="541"/>
      <c r="K211" s="561"/>
      <c r="L211" s="545"/>
      <c r="M211" s="561"/>
      <c r="N211" s="545"/>
      <c r="O211" s="545"/>
    </row>
    <row r="212" spans="3:15">
      <c r="C212" s="537">
        <f>IF(D185="","-",+C211+1)</f>
        <v>2034</v>
      </c>
      <c r="D212" s="495">
        <f t="shared" si="6"/>
        <v>6572337.4134722296</v>
      </c>
      <c r="E212" s="538">
        <f t="shared" si="11"/>
        <v>424021.7686111111</v>
      </c>
      <c r="F212" s="495">
        <f t="shared" si="7"/>
        <v>6148315.6448611189</v>
      </c>
      <c r="G212" s="543">
        <f t="shared" si="8"/>
        <v>1135829.2698388204</v>
      </c>
      <c r="H212" s="544">
        <f t="shared" si="9"/>
        <v>1135829.2698388204</v>
      </c>
      <c r="I212" s="541">
        <f t="shared" si="10"/>
        <v>0</v>
      </c>
      <c r="J212" s="541"/>
      <c r="K212" s="561"/>
      <c r="L212" s="545"/>
      <c r="M212" s="561"/>
      <c r="N212" s="545"/>
      <c r="O212" s="545"/>
    </row>
    <row r="213" spans="3:15">
      <c r="C213" s="537">
        <f>IF(D185="","-",+C212+1)</f>
        <v>2035</v>
      </c>
      <c r="D213" s="495">
        <f t="shared" si="6"/>
        <v>6148315.6448611189</v>
      </c>
      <c r="E213" s="538">
        <f t="shared" si="11"/>
        <v>424021.7686111111</v>
      </c>
      <c r="F213" s="495">
        <f t="shared" si="7"/>
        <v>5724293.8762500081</v>
      </c>
      <c r="G213" s="543">
        <f t="shared" si="8"/>
        <v>1088375.4364236398</v>
      </c>
      <c r="H213" s="544">
        <f t="shared" si="9"/>
        <v>1088375.4364236398</v>
      </c>
      <c r="I213" s="541">
        <f t="shared" si="10"/>
        <v>0</v>
      </c>
      <c r="J213" s="541"/>
      <c r="K213" s="561"/>
      <c r="L213" s="545"/>
      <c r="M213" s="561"/>
      <c r="N213" s="545"/>
      <c r="O213" s="545"/>
    </row>
    <row r="214" spans="3:15">
      <c r="C214" s="537">
        <f>IF(D185="","-",+C213+1)</f>
        <v>2036</v>
      </c>
      <c r="D214" s="495">
        <f t="shared" si="6"/>
        <v>5724293.8762500081</v>
      </c>
      <c r="E214" s="538">
        <f t="shared" si="11"/>
        <v>424021.7686111111</v>
      </c>
      <c r="F214" s="495">
        <f t="shared" si="7"/>
        <v>5300272.1076388974</v>
      </c>
      <c r="G214" s="543">
        <f t="shared" si="8"/>
        <v>1040921.6030084593</v>
      </c>
      <c r="H214" s="544">
        <f t="shared" si="9"/>
        <v>1040921.6030084593</v>
      </c>
      <c r="I214" s="541">
        <f t="shared" si="10"/>
        <v>0</v>
      </c>
      <c r="J214" s="541"/>
      <c r="K214" s="561"/>
      <c r="L214" s="545"/>
      <c r="M214" s="561"/>
      <c r="N214" s="545"/>
      <c r="O214" s="545"/>
    </row>
    <row r="215" spans="3:15">
      <c r="C215" s="537">
        <f>IF(D185="","-",+C214+1)</f>
        <v>2037</v>
      </c>
      <c r="D215" s="495">
        <f t="shared" si="6"/>
        <v>5300272.1076388974</v>
      </c>
      <c r="E215" s="538">
        <f t="shared" si="11"/>
        <v>424021.7686111111</v>
      </c>
      <c r="F215" s="495">
        <f t="shared" si="7"/>
        <v>4876250.3390277866</v>
      </c>
      <c r="G215" s="543">
        <f t="shared" si="8"/>
        <v>993467.76959327888</v>
      </c>
      <c r="H215" s="544">
        <f t="shared" si="9"/>
        <v>993467.76959327888</v>
      </c>
      <c r="I215" s="541">
        <f t="shared" si="10"/>
        <v>0</v>
      </c>
      <c r="J215" s="541"/>
      <c r="K215" s="561"/>
      <c r="L215" s="545"/>
      <c r="M215" s="561"/>
      <c r="N215" s="545"/>
      <c r="O215" s="545"/>
    </row>
    <row r="216" spans="3:15">
      <c r="C216" s="537">
        <f>IF(D185="","-",+C215+1)</f>
        <v>2038</v>
      </c>
      <c r="D216" s="495">
        <f t="shared" si="6"/>
        <v>4876250.3390277866</v>
      </c>
      <c r="E216" s="538">
        <f t="shared" si="11"/>
        <v>424021.7686111111</v>
      </c>
      <c r="F216" s="495">
        <f t="shared" si="7"/>
        <v>4452228.5704166759</v>
      </c>
      <c r="G216" s="543">
        <f t="shared" si="8"/>
        <v>946013.93617809832</v>
      </c>
      <c r="H216" s="544">
        <f t="shared" si="9"/>
        <v>946013.93617809832</v>
      </c>
      <c r="I216" s="541">
        <f t="shared" si="10"/>
        <v>0</v>
      </c>
      <c r="J216" s="541"/>
      <c r="K216" s="561"/>
      <c r="L216" s="545"/>
      <c r="M216" s="561"/>
      <c r="N216" s="545"/>
      <c r="O216" s="545"/>
    </row>
    <row r="217" spans="3:15">
      <c r="C217" s="537">
        <f>IF(D185="","-",+C216+1)</f>
        <v>2039</v>
      </c>
      <c r="D217" s="495">
        <f t="shared" si="6"/>
        <v>4452228.5704166759</v>
      </c>
      <c r="E217" s="538">
        <f t="shared" si="11"/>
        <v>424021.7686111111</v>
      </c>
      <c r="F217" s="495">
        <f t="shared" si="7"/>
        <v>4028206.8018055647</v>
      </c>
      <c r="G217" s="543">
        <f t="shared" si="8"/>
        <v>898560.10276291776</v>
      </c>
      <c r="H217" s="544">
        <f t="shared" si="9"/>
        <v>898560.10276291776</v>
      </c>
      <c r="I217" s="541">
        <f t="shared" si="10"/>
        <v>0</v>
      </c>
      <c r="J217" s="541"/>
      <c r="K217" s="561"/>
      <c r="L217" s="545"/>
      <c r="M217" s="561"/>
      <c r="N217" s="545"/>
      <c r="O217" s="545"/>
    </row>
    <row r="218" spans="3:15">
      <c r="C218" s="537">
        <f>IF(D185="","-",+C217+1)</f>
        <v>2040</v>
      </c>
      <c r="D218" s="495">
        <f t="shared" si="6"/>
        <v>4028206.8018055647</v>
      </c>
      <c r="E218" s="538">
        <f t="shared" si="11"/>
        <v>424021.7686111111</v>
      </c>
      <c r="F218" s="495">
        <f t="shared" si="7"/>
        <v>3604185.0331944535</v>
      </c>
      <c r="G218" s="543">
        <f t="shared" si="8"/>
        <v>851106.26934773708</v>
      </c>
      <c r="H218" s="544">
        <f t="shared" si="9"/>
        <v>851106.26934773708</v>
      </c>
      <c r="I218" s="541">
        <f t="shared" si="10"/>
        <v>0</v>
      </c>
      <c r="J218" s="541"/>
      <c r="K218" s="561"/>
      <c r="L218" s="545"/>
      <c r="M218" s="561"/>
      <c r="N218" s="545"/>
      <c r="O218" s="545"/>
    </row>
    <row r="219" spans="3:15">
      <c r="C219" s="537">
        <f>IF(D185="","-",+C218+1)</f>
        <v>2041</v>
      </c>
      <c r="D219" s="495">
        <f t="shared" si="6"/>
        <v>3604185.0331944535</v>
      </c>
      <c r="E219" s="538">
        <f t="shared" si="11"/>
        <v>424021.7686111111</v>
      </c>
      <c r="F219" s="495">
        <f t="shared" si="7"/>
        <v>3180163.2645833422</v>
      </c>
      <c r="G219" s="539">
        <f t="shared" si="8"/>
        <v>803652.43593255663</v>
      </c>
      <c r="H219" s="544">
        <f t="shared" si="9"/>
        <v>803652.43593255663</v>
      </c>
      <c r="I219" s="541">
        <f t="shared" si="10"/>
        <v>0</v>
      </c>
      <c r="J219" s="541"/>
      <c r="K219" s="561"/>
      <c r="L219" s="545"/>
      <c r="M219" s="561"/>
      <c r="N219" s="545"/>
      <c r="O219" s="545"/>
    </row>
    <row r="220" spans="3:15">
      <c r="C220" s="537">
        <f>IF(D185="","-",+C219+1)</f>
        <v>2042</v>
      </c>
      <c r="D220" s="495">
        <f t="shared" si="6"/>
        <v>3180163.2645833422</v>
      </c>
      <c r="E220" s="538">
        <f t="shared" si="11"/>
        <v>424021.7686111111</v>
      </c>
      <c r="F220" s="495">
        <f t="shared" si="7"/>
        <v>2756141.495972231</v>
      </c>
      <c r="G220" s="543">
        <f t="shared" si="8"/>
        <v>756198.60251737596</v>
      </c>
      <c r="H220" s="544">
        <f t="shared" si="9"/>
        <v>756198.60251737596</v>
      </c>
      <c r="I220" s="541">
        <f t="shared" si="10"/>
        <v>0</v>
      </c>
      <c r="J220" s="541"/>
      <c r="K220" s="561"/>
      <c r="L220" s="545"/>
      <c r="M220" s="561"/>
      <c r="N220" s="545"/>
      <c r="O220" s="545"/>
    </row>
    <row r="221" spans="3:15">
      <c r="C221" s="537">
        <f>IF(D185="","-",+C220+1)</f>
        <v>2043</v>
      </c>
      <c r="D221" s="495">
        <f t="shared" si="6"/>
        <v>2756141.495972231</v>
      </c>
      <c r="E221" s="538">
        <f t="shared" si="11"/>
        <v>424021.7686111111</v>
      </c>
      <c r="F221" s="495">
        <f t="shared" si="7"/>
        <v>2332119.7273611198</v>
      </c>
      <c r="G221" s="543">
        <f t="shared" si="8"/>
        <v>708744.76910219551</v>
      </c>
      <c r="H221" s="544">
        <f t="shared" si="9"/>
        <v>708744.76910219551</v>
      </c>
      <c r="I221" s="541">
        <f t="shared" si="10"/>
        <v>0</v>
      </c>
      <c r="J221" s="541"/>
      <c r="K221" s="561"/>
      <c r="L221" s="545"/>
      <c r="M221" s="561"/>
      <c r="N221" s="545"/>
      <c r="O221" s="545"/>
    </row>
    <row r="222" spans="3:15">
      <c r="C222" s="537">
        <f>IF(D185="","-",+C221+1)</f>
        <v>2044</v>
      </c>
      <c r="D222" s="495">
        <f t="shared" si="6"/>
        <v>2332119.7273611198</v>
      </c>
      <c r="E222" s="538">
        <f t="shared" si="11"/>
        <v>424021.7686111111</v>
      </c>
      <c r="F222" s="495">
        <f t="shared" si="7"/>
        <v>1908097.9587500086</v>
      </c>
      <c r="G222" s="543">
        <f t="shared" si="8"/>
        <v>661290.93568701483</v>
      </c>
      <c r="H222" s="544">
        <f t="shared" si="9"/>
        <v>661290.93568701483</v>
      </c>
      <c r="I222" s="541">
        <f t="shared" si="10"/>
        <v>0</v>
      </c>
      <c r="J222" s="541"/>
      <c r="K222" s="561"/>
      <c r="L222" s="545"/>
      <c r="M222" s="561"/>
      <c r="N222" s="545"/>
      <c r="O222" s="545"/>
    </row>
    <row r="223" spans="3:15">
      <c r="C223" s="537">
        <f>IF(D185="","-",+C222+1)</f>
        <v>2045</v>
      </c>
      <c r="D223" s="495">
        <f t="shared" si="6"/>
        <v>1908097.9587500086</v>
      </c>
      <c r="E223" s="538">
        <f t="shared" si="11"/>
        <v>424021.7686111111</v>
      </c>
      <c r="F223" s="495">
        <f t="shared" si="7"/>
        <v>1484076.1901388974</v>
      </c>
      <c r="G223" s="543">
        <f t="shared" si="8"/>
        <v>613837.10227183427</v>
      </c>
      <c r="H223" s="544">
        <f t="shared" si="9"/>
        <v>613837.10227183427</v>
      </c>
      <c r="I223" s="541">
        <f t="shared" si="10"/>
        <v>0</v>
      </c>
      <c r="J223" s="541"/>
      <c r="K223" s="561"/>
      <c r="L223" s="545"/>
      <c r="M223" s="561"/>
      <c r="N223" s="545"/>
      <c r="O223" s="545"/>
    </row>
    <row r="224" spans="3:15">
      <c r="C224" s="537">
        <f>IF(D185="","-",+C223+1)</f>
        <v>2046</v>
      </c>
      <c r="D224" s="495">
        <f t="shared" si="6"/>
        <v>1484076.1901388974</v>
      </c>
      <c r="E224" s="538">
        <f t="shared" si="11"/>
        <v>424021.7686111111</v>
      </c>
      <c r="F224" s="495">
        <f t="shared" si="7"/>
        <v>1060054.4215277862</v>
      </c>
      <c r="G224" s="543">
        <f t="shared" si="8"/>
        <v>566383.26885665371</v>
      </c>
      <c r="H224" s="544">
        <f t="shared" si="9"/>
        <v>566383.26885665371</v>
      </c>
      <c r="I224" s="541">
        <f t="shared" si="10"/>
        <v>0</v>
      </c>
      <c r="J224" s="541"/>
      <c r="K224" s="561"/>
      <c r="L224" s="545"/>
      <c r="M224" s="561"/>
      <c r="N224" s="545"/>
      <c r="O224" s="545"/>
    </row>
    <row r="225" spans="3:15">
      <c r="C225" s="537">
        <f>IF(D185="","-",+C224+1)</f>
        <v>2047</v>
      </c>
      <c r="D225" s="495">
        <f t="shared" si="6"/>
        <v>1060054.4215277862</v>
      </c>
      <c r="E225" s="538">
        <f t="shared" si="11"/>
        <v>424021.7686111111</v>
      </c>
      <c r="F225" s="495">
        <f t="shared" si="7"/>
        <v>636032.65291667508</v>
      </c>
      <c r="G225" s="543">
        <f t="shared" si="8"/>
        <v>518929.43544147315</v>
      </c>
      <c r="H225" s="544">
        <f t="shared" si="9"/>
        <v>518929.43544147315</v>
      </c>
      <c r="I225" s="541">
        <f t="shared" si="10"/>
        <v>0</v>
      </c>
      <c r="J225" s="541"/>
      <c r="K225" s="561"/>
      <c r="L225" s="545"/>
      <c r="M225" s="561"/>
      <c r="N225" s="545"/>
      <c r="O225" s="545"/>
    </row>
    <row r="226" spans="3:15">
      <c r="C226" s="537">
        <f>IF(D185="","-",+C225+1)</f>
        <v>2048</v>
      </c>
      <c r="D226" s="495">
        <f t="shared" si="6"/>
        <v>636032.65291667508</v>
      </c>
      <c r="E226" s="538">
        <f t="shared" si="11"/>
        <v>424021.7686111111</v>
      </c>
      <c r="F226" s="495">
        <f t="shared" si="7"/>
        <v>212010.88430556399</v>
      </c>
      <c r="G226" s="543">
        <f t="shared" si="8"/>
        <v>471475.60202629259</v>
      </c>
      <c r="H226" s="544">
        <f t="shared" si="9"/>
        <v>471475.60202629259</v>
      </c>
      <c r="I226" s="541">
        <f t="shared" si="10"/>
        <v>0</v>
      </c>
      <c r="J226" s="541"/>
      <c r="K226" s="561"/>
      <c r="L226" s="545"/>
      <c r="M226" s="561"/>
      <c r="N226" s="545"/>
      <c r="O226" s="545"/>
    </row>
    <row r="227" spans="3:15">
      <c r="C227" s="537">
        <f>IF(D185="","-",+C226+1)</f>
        <v>2049</v>
      </c>
      <c r="D227" s="495">
        <f t="shared" si="6"/>
        <v>212010.88430556399</v>
      </c>
      <c r="E227" s="538">
        <f t="shared" si="11"/>
        <v>212010.88430556399</v>
      </c>
      <c r="F227" s="495">
        <f t="shared" si="7"/>
        <v>0</v>
      </c>
      <c r="G227" s="543">
        <f t="shared" si="8"/>
        <v>223874.34265935959</v>
      </c>
      <c r="H227" s="544">
        <f t="shared" si="9"/>
        <v>223874.34265935959</v>
      </c>
      <c r="I227" s="541">
        <f t="shared" si="10"/>
        <v>0</v>
      </c>
      <c r="J227" s="541"/>
      <c r="K227" s="561"/>
      <c r="L227" s="545"/>
      <c r="M227" s="561"/>
      <c r="N227" s="545"/>
      <c r="O227" s="545"/>
    </row>
    <row r="228" spans="3:15">
      <c r="C228" s="537">
        <f>IF(D185="","-",+C227+1)</f>
        <v>2050</v>
      </c>
      <c r="D228" s="495">
        <f t="shared" si="6"/>
        <v>0</v>
      </c>
      <c r="E228" s="538">
        <f t="shared" si="11"/>
        <v>0</v>
      </c>
      <c r="F228" s="495">
        <f t="shared" si="7"/>
        <v>0</v>
      </c>
      <c r="G228" s="543">
        <f t="shared" si="8"/>
        <v>0</v>
      </c>
      <c r="H228" s="544">
        <f t="shared" si="9"/>
        <v>0</v>
      </c>
      <c r="I228" s="541">
        <f t="shared" si="10"/>
        <v>0</v>
      </c>
      <c r="J228" s="541"/>
      <c r="K228" s="561"/>
      <c r="L228" s="545"/>
      <c r="M228" s="561"/>
      <c r="N228" s="545"/>
      <c r="O228" s="545"/>
    </row>
    <row r="229" spans="3:15">
      <c r="C229" s="537">
        <f>IF(D185="","-",+C228+1)</f>
        <v>2051</v>
      </c>
      <c r="D229" s="495">
        <f t="shared" si="6"/>
        <v>0</v>
      </c>
      <c r="E229" s="538">
        <f t="shared" si="11"/>
        <v>0</v>
      </c>
      <c r="F229" s="495">
        <f t="shared" si="7"/>
        <v>0</v>
      </c>
      <c r="G229" s="543">
        <f t="shared" si="8"/>
        <v>0</v>
      </c>
      <c r="H229" s="544">
        <f t="shared" si="9"/>
        <v>0</v>
      </c>
      <c r="I229" s="541">
        <f t="shared" si="10"/>
        <v>0</v>
      </c>
      <c r="J229" s="541"/>
      <c r="K229" s="561"/>
      <c r="L229" s="545"/>
      <c r="M229" s="561"/>
      <c r="N229" s="545"/>
      <c r="O229" s="545"/>
    </row>
    <row r="230" spans="3:15">
      <c r="C230" s="537">
        <f>IF(D185="","-",+C229+1)</f>
        <v>2052</v>
      </c>
      <c r="D230" s="495">
        <f t="shared" si="6"/>
        <v>0</v>
      </c>
      <c r="E230" s="538">
        <f t="shared" si="11"/>
        <v>0</v>
      </c>
      <c r="F230" s="495">
        <f t="shared" si="7"/>
        <v>0</v>
      </c>
      <c r="G230" s="543">
        <f t="shared" si="8"/>
        <v>0</v>
      </c>
      <c r="H230" s="544">
        <f t="shared" si="9"/>
        <v>0</v>
      </c>
      <c r="I230" s="541">
        <f t="shared" si="10"/>
        <v>0</v>
      </c>
      <c r="J230" s="541"/>
      <c r="K230" s="561"/>
      <c r="L230" s="545"/>
      <c r="M230" s="561"/>
      <c r="N230" s="545"/>
      <c r="O230" s="545"/>
    </row>
    <row r="231" spans="3:15">
      <c r="C231" s="537">
        <f>IF(D185="","-",+C230+1)</f>
        <v>2053</v>
      </c>
      <c r="D231" s="495">
        <f t="shared" si="6"/>
        <v>0</v>
      </c>
      <c r="E231" s="538">
        <f t="shared" si="11"/>
        <v>0</v>
      </c>
      <c r="F231" s="495">
        <f t="shared" si="7"/>
        <v>0</v>
      </c>
      <c r="G231" s="543">
        <f t="shared" si="8"/>
        <v>0</v>
      </c>
      <c r="H231" s="544">
        <f t="shared" si="9"/>
        <v>0</v>
      </c>
      <c r="I231" s="541">
        <f t="shared" si="10"/>
        <v>0</v>
      </c>
      <c r="J231" s="541"/>
      <c r="K231" s="561"/>
      <c r="L231" s="545"/>
      <c r="M231" s="561"/>
      <c r="N231" s="545"/>
      <c r="O231" s="545"/>
    </row>
    <row r="232" spans="3:15">
      <c r="C232" s="537">
        <f>IF(D185="","-",+C231+1)</f>
        <v>2054</v>
      </c>
      <c r="D232" s="495">
        <f t="shared" si="6"/>
        <v>0</v>
      </c>
      <c r="E232" s="538">
        <f t="shared" si="11"/>
        <v>0</v>
      </c>
      <c r="F232" s="495">
        <f t="shared" si="7"/>
        <v>0</v>
      </c>
      <c r="G232" s="543">
        <f t="shared" si="8"/>
        <v>0</v>
      </c>
      <c r="H232" s="544">
        <f t="shared" si="9"/>
        <v>0</v>
      </c>
      <c r="I232" s="541">
        <f t="shared" si="10"/>
        <v>0</v>
      </c>
      <c r="J232" s="541"/>
      <c r="K232" s="561"/>
      <c r="L232" s="545"/>
      <c r="M232" s="561"/>
      <c r="N232" s="545"/>
      <c r="O232" s="545"/>
    </row>
    <row r="233" spans="3:15">
      <c r="C233" s="537">
        <f>IF(D185="","-",+C232+1)</f>
        <v>2055</v>
      </c>
      <c r="D233" s="495">
        <f t="shared" si="6"/>
        <v>0</v>
      </c>
      <c r="E233" s="538">
        <f t="shared" si="11"/>
        <v>0</v>
      </c>
      <c r="F233" s="495">
        <f t="shared" si="7"/>
        <v>0</v>
      </c>
      <c r="G233" s="543">
        <f t="shared" si="8"/>
        <v>0</v>
      </c>
      <c r="H233" s="544">
        <f t="shared" si="9"/>
        <v>0</v>
      </c>
      <c r="I233" s="541">
        <f t="shared" si="10"/>
        <v>0</v>
      </c>
      <c r="J233" s="541"/>
      <c r="K233" s="561"/>
      <c r="L233" s="545"/>
      <c r="M233" s="561"/>
      <c r="N233" s="545"/>
      <c r="O233" s="545"/>
    </row>
    <row r="234" spans="3:15">
      <c r="C234" s="537">
        <f>IF(D185="","-",+C233+1)</f>
        <v>2056</v>
      </c>
      <c r="D234" s="495">
        <f t="shared" si="6"/>
        <v>0</v>
      </c>
      <c r="E234" s="538">
        <f t="shared" si="11"/>
        <v>0</v>
      </c>
      <c r="F234" s="495">
        <f t="shared" si="7"/>
        <v>0</v>
      </c>
      <c r="G234" s="543">
        <f t="shared" si="8"/>
        <v>0</v>
      </c>
      <c r="H234" s="544">
        <f t="shared" si="9"/>
        <v>0</v>
      </c>
      <c r="I234" s="541">
        <f t="shared" si="10"/>
        <v>0</v>
      </c>
      <c r="J234" s="541"/>
      <c r="K234" s="561"/>
      <c r="L234" s="545"/>
      <c r="M234" s="561"/>
      <c r="N234" s="545"/>
      <c r="O234" s="545"/>
    </row>
    <row r="235" spans="3:15">
      <c r="C235" s="537">
        <f>IF(D185="","-",+C234+1)</f>
        <v>2057</v>
      </c>
      <c r="D235" s="495">
        <f t="shared" si="6"/>
        <v>0</v>
      </c>
      <c r="E235" s="538">
        <f t="shared" si="11"/>
        <v>0</v>
      </c>
      <c r="F235" s="495">
        <f t="shared" si="7"/>
        <v>0</v>
      </c>
      <c r="G235" s="543">
        <f t="shared" si="8"/>
        <v>0</v>
      </c>
      <c r="H235" s="544">
        <f t="shared" si="9"/>
        <v>0</v>
      </c>
      <c r="I235" s="541">
        <f t="shared" si="10"/>
        <v>0</v>
      </c>
      <c r="J235" s="541"/>
      <c r="K235" s="561"/>
      <c r="L235" s="545"/>
      <c r="M235" s="561"/>
      <c r="N235" s="545"/>
      <c r="O235" s="545"/>
    </row>
    <row r="236" spans="3:15">
      <c r="C236" s="537">
        <f>IF(D185="","-",+C235+1)</f>
        <v>2058</v>
      </c>
      <c r="D236" s="495">
        <f t="shared" si="6"/>
        <v>0</v>
      </c>
      <c r="E236" s="538">
        <f t="shared" si="11"/>
        <v>0</v>
      </c>
      <c r="F236" s="495">
        <f t="shared" si="7"/>
        <v>0</v>
      </c>
      <c r="G236" s="543">
        <f t="shared" si="8"/>
        <v>0</v>
      </c>
      <c r="H236" s="544">
        <f t="shared" si="9"/>
        <v>0</v>
      </c>
      <c r="I236" s="541">
        <f t="shared" si="10"/>
        <v>0</v>
      </c>
      <c r="J236" s="541"/>
      <c r="K236" s="561"/>
      <c r="L236" s="545"/>
      <c r="M236" s="561"/>
      <c r="N236" s="545"/>
      <c r="O236" s="545"/>
    </row>
    <row r="237" spans="3:15">
      <c r="C237" s="537">
        <f>IF(D185="","-",+C236+1)</f>
        <v>2059</v>
      </c>
      <c r="D237" s="495">
        <f t="shared" si="6"/>
        <v>0</v>
      </c>
      <c r="E237" s="538">
        <f t="shared" si="11"/>
        <v>0</v>
      </c>
      <c r="F237" s="495">
        <f t="shared" si="7"/>
        <v>0</v>
      </c>
      <c r="G237" s="543">
        <f t="shared" si="8"/>
        <v>0</v>
      </c>
      <c r="H237" s="544">
        <f t="shared" si="9"/>
        <v>0</v>
      </c>
      <c r="I237" s="541">
        <f t="shared" si="10"/>
        <v>0</v>
      </c>
      <c r="J237" s="541"/>
      <c r="K237" s="561"/>
      <c r="L237" s="545"/>
      <c r="M237" s="561"/>
      <c r="N237" s="545"/>
      <c r="O237" s="545"/>
    </row>
    <row r="238" spans="3:15">
      <c r="C238" s="537">
        <f>IF(D185="","-",+C237+1)</f>
        <v>2060</v>
      </c>
      <c r="D238" s="495">
        <f t="shared" si="6"/>
        <v>0</v>
      </c>
      <c r="E238" s="538">
        <f t="shared" si="11"/>
        <v>0</v>
      </c>
      <c r="F238" s="495">
        <f t="shared" si="7"/>
        <v>0</v>
      </c>
      <c r="G238" s="543">
        <f t="shared" si="8"/>
        <v>0</v>
      </c>
      <c r="H238" s="544">
        <f t="shared" si="9"/>
        <v>0</v>
      </c>
      <c r="I238" s="541">
        <f t="shared" si="10"/>
        <v>0</v>
      </c>
      <c r="J238" s="541"/>
      <c r="K238" s="561"/>
      <c r="L238" s="545"/>
      <c r="M238" s="561"/>
      <c r="N238" s="545"/>
      <c r="O238" s="545"/>
    </row>
    <row r="239" spans="3:15">
      <c r="C239" s="537">
        <f>IF(D185="","-",+C238+1)</f>
        <v>2061</v>
      </c>
      <c r="D239" s="495">
        <f t="shared" si="6"/>
        <v>0</v>
      </c>
      <c r="E239" s="538">
        <f t="shared" si="11"/>
        <v>0</v>
      </c>
      <c r="F239" s="495">
        <f t="shared" si="7"/>
        <v>0</v>
      </c>
      <c r="G239" s="543">
        <f t="shared" si="8"/>
        <v>0</v>
      </c>
      <c r="H239" s="544">
        <f t="shared" si="9"/>
        <v>0</v>
      </c>
      <c r="I239" s="541">
        <f t="shared" si="10"/>
        <v>0</v>
      </c>
      <c r="J239" s="541"/>
      <c r="K239" s="561"/>
      <c r="L239" s="545"/>
      <c r="M239" s="561"/>
      <c r="N239" s="545"/>
      <c r="O239" s="545"/>
    </row>
    <row r="240" spans="3:15">
      <c r="C240" s="537">
        <f>IF(D185="","-",+C239+1)</f>
        <v>2062</v>
      </c>
      <c r="D240" s="495">
        <f t="shared" si="6"/>
        <v>0</v>
      </c>
      <c r="E240" s="538">
        <f t="shared" si="11"/>
        <v>0</v>
      </c>
      <c r="F240" s="495">
        <f t="shared" si="7"/>
        <v>0</v>
      </c>
      <c r="G240" s="543">
        <f t="shared" si="8"/>
        <v>0</v>
      </c>
      <c r="H240" s="544">
        <f t="shared" si="9"/>
        <v>0</v>
      </c>
      <c r="I240" s="541">
        <f t="shared" si="10"/>
        <v>0</v>
      </c>
      <c r="J240" s="541"/>
      <c r="K240" s="561"/>
      <c r="L240" s="545"/>
      <c r="M240" s="561"/>
      <c r="N240" s="545"/>
      <c r="O240" s="545"/>
    </row>
    <row r="241" spans="3:15">
      <c r="C241" s="537">
        <f>IF(D185="","-",+C240+1)</f>
        <v>2063</v>
      </c>
      <c r="D241" s="495">
        <f t="shared" si="6"/>
        <v>0</v>
      </c>
      <c r="E241" s="538">
        <f t="shared" si="11"/>
        <v>0</v>
      </c>
      <c r="F241" s="495">
        <f t="shared" si="7"/>
        <v>0</v>
      </c>
      <c r="G241" s="543">
        <f t="shared" si="8"/>
        <v>0</v>
      </c>
      <c r="H241" s="544">
        <f t="shared" si="9"/>
        <v>0</v>
      </c>
      <c r="I241" s="541">
        <f t="shared" si="10"/>
        <v>0</v>
      </c>
      <c r="J241" s="541"/>
      <c r="K241" s="561"/>
      <c r="L241" s="545"/>
      <c r="M241" s="561"/>
      <c r="N241" s="545"/>
      <c r="O241" s="545"/>
    </row>
    <row r="242" spans="3:15">
      <c r="C242" s="537">
        <f>IF(D185="","-",+C241+1)</f>
        <v>2064</v>
      </c>
      <c r="D242" s="495">
        <f t="shared" si="6"/>
        <v>0</v>
      </c>
      <c r="E242" s="538">
        <f t="shared" si="11"/>
        <v>0</v>
      </c>
      <c r="F242" s="495">
        <f t="shared" si="7"/>
        <v>0</v>
      </c>
      <c r="G242" s="543">
        <f t="shared" si="8"/>
        <v>0</v>
      </c>
      <c r="H242" s="544">
        <f t="shared" si="9"/>
        <v>0</v>
      </c>
      <c r="I242" s="541">
        <f t="shared" si="10"/>
        <v>0</v>
      </c>
      <c r="J242" s="541"/>
      <c r="K242" s="561"/>
      <c r="L242" s="545"/>
      <c r="M242" s="561"/>
      <c r="N242" s="545"/>
      <c r="O242" s="545"/>
    </row>
    <row r="243" spans="3:15">
      <c r="C243" s="537">
        <f>IF(D185="","-",+C242+1)</f>
        <v>2065</v>
      </c>
      <c r="D243" s="495">
        <f t="shared" si="6"/>
        <v>0</v>
      </c>
      <c r="E243" s="538">
        <f t="shared" si="11"/>
        <v>0</v>
      </c>
      <c r="F243" s="495">
        <f t="shared" si="7"/>
        <v>0</v>
      </c>
      <c r="G243" s="543">
        <f t="shared" si="8"/>
        <v>0</v>
      </c>
      <c r="H243" s="544">
        <f t="shared" si="9"/>
        <v>0</v>
      </c>
      <c r="I243" s="541">
        <f t="shared" si="10"/>
        <v>0</v>
      </c>
      <c r="J243" s="541"/>
      <c r="K243" s="561"/>
      <c r="L243" s="545"/>
      <c r="M243" s="561"/>
      <c r="N243" s="545"/>
      <c r="O243" s="545"/>
    </row>
    <row r="244" spans="3:15">
      <c r="C244" s="537">
        <f>IF(D185="","-",+C243+1)</f>
        <v>2066</v>
      </c>
      <c r="D244" s="495">
        <f t="shared" si="6"/>
        <v>0</v>
      </c>
      <c r="E244" s="538">
        <f t="shared" si="11"/>
        <v>0</v>
      </c>
      <c r="F244" s="495">
        <f t="shared" si="7"/>
        <v>0</v>
      </c>
      <c r="G244" s="543">
        <f t="shared" si="8"/>
        <v>0</v>
      </c>
      <c r="H244" s="544">
        <f t="shared" si="9"/>
        <v>0</v>
      </c>
      <c r="I244" s="541">
        <f t="shared" si="10"/>
        <v>0</v>
      </c>
      <c r="J244" s="541"/>
      <c r="K244" s="561"/>
      <c r="L244" s="545"/>
      <c r="M244" s="561"/>
      <c r="N244" s="545"/>
      <c r="O244" s="545"/>
    </row>
    <row r="245" spans="3:15">
      <c r="C245" s="537">
        <f>IF(D185="","-",+C244+1)</f>
        <v>2067</v>
      </c>
      <c r="D245" s="495">
        <f t="shared" si="6"/>
        <v>0</v>
      </c>
      <c r="E245" s="538">
        <f t="shared" si="11"/>
        <v>0</v>
      </c>
      <c r="F245" s="495">
        <f t="shared" si="7"/>
        <v>0</v>
      </c>
      <c r="G245" s="543">
        <f t="shared" si="8"/>
        <v>0</v>
      </c>
      <c r="H245" s="544">
        <f t="shared" si="9"/>
        <v>0</v>
      </c>
      <c r="I245" s="541">
        <f t="shared" si="10"/>
        <v>0</v>
      </c>
      <c r="J245" s="541"/>
      <c r="K245" s="561"/>
      <c r="L245" s="545"/>
      <c r="M245" s="561"/>
      <c r="N245" s="545"/>
      <c r="O245" s="545"/>
    </row>
    <row r="246" spans="3:15">
      <c r="C246" s="537">
        <f>IF(D185="","-",+C245+1)</f>
        <v>2068</v>
      </c>
      <c r="D246" s="495">
        <f t="shared" si="6"/>
        <v>0</v>
      </c>
      <c r="E246" s="538">
        <f t="shared" si="11"/>
        <v>0</v>
      </c>
      <c r="F246" s="495">
        <f t="shared" si="7"/>
        <v>0</v>
      </c>
      <c r="G246" s="543">
        <f t="shared" si="8"/>
        <v>0</v>
      </c>
      <c r="H246" s="544">
        <f t="shared" si="9"/>
        <v>0</v>
      </c>
      <c r="I246" s="541">
        <f t="shared" si="10"/>
        <v>0</v>
      </c>
      <c r="J246" s="541"/>
      <c r="K246" s="561"/>
      <c r="L246" s="545"/>
      <c r="M246" s="561"/>
      <c r="N246" s="545"/>
      <c r="O246" s="545"/>
    </row>
    <row r="247" spans="3:15">
      <c r="C247" s="537">
        <f>IF(D185="","-",+C246+1)</f>
        <v>2069</v>
      </c>
      <c r="D247" s="495">
        <f t="shared" si="6"/>
        <v>0</v>
      </c>
      <c r="E247" s="538">
        <f t="shared" si="11"/>
        <v>0</v>
      </c>
      <c r="F247" s="495">
        <f t="shared" si="7"/>
        <v>0</v>
      </c>
      <c r="G247" s="543">
        <f t="shared" si="8"/>
        <v>0</v>
      </c>
      <c r="H247" s="544">
        <f t="shared" si="9"/>
        <v>0</v>
      </c>
      <c r="I247" s="541">
        <f t="shared" si="10"/>
        <v>0</v>
      </c>
      <c r="J247" s="541"/>
      <c r="K247" s="561"/>
      <c r="L247" s="545"/>
      <c r="M247" s="561"/>
      <c r="N247" s="545"/>
      <c r="O247" s="545"/>
    </row>
    <row r="248" spans="3:15">
      <c r="C248" s="537">
        <f>IF(D185="","-",+C247+1)</f>
        <v>2070</v>
      </c>
      <c r="D248" s="495">
        <f t="shared" si="6"/>
        <v>0</v>
      </c>
      <c r="E248" s="538">
        <f t="shared" si="11"/>
        <v>0</v>
      </c>
      <c r="F248" s="495">
        <f t="shared" si="7"/>
        <v>0</v>
      </c>
      <c r="G248" s="543">
        <f t="shared" si="8"/>
        <v>0</v>
      </c>
      <c r="H248" s="544">
        <f t="shared" si="9"/>
        <v>0</v>
      </c>
      <c r="I248" s="541">
        <f t="shared" si="10"/>
        <v>0</v>
      </c>
      <c r="J248" s="541"/>
      <c r="K248" s="561"/>
      <c r="L248" s="545"/>
      <c r="M248" s="561"/>
      <c r="N248" s="545"/>
      <c r="O248" s="545"/>
    </row>
    <row r="249" spans="3:15">
      <c r="C249" s="537">
        <f>IF(D185="","-",+C248+1)</f>
        <v>2071</v>
      </c>
      <c r="D249" s="495">
        <f t="shared" si="6"/>
        <v>0</v>
      </c>
      <c r="E249" s="538">
        <f t="shared" si="11"/>
        <v>0</v>
      </c>
      <c r="F249" s="495">
        <f t="shared" si="7"/>
        <v>0</v>
      </c>
      <c r="G249" s="543">
        <f t="shared" si="8"/>
        <v>0</v>
      </c>
      <c r="H249" s="544">
        <f t="shared" si="9"/>
        <v>0</v>
      </c>
      <c r="I249" s="541">
        <f t="shared" si="10"/>
        <v>0</v>
      </c>
      <c r="J249" s="541"/>
      <c r="K249" s="561"/>
      <c r="L249" s="545"/>
      <c r="M249" s="561"/>
      <c r="N249" s="545"/>
      <c r="O249" s="545"/>
    </row>
    <row r="250" spans="3:15" ht="13.5" thickBot="1">
      <c r="C250" s="547">
        <f>IF(D185="","-",+C249+1)</f>
        <v>2072</v>
      </c>
      <c r="D250" s="548">
        <f t="shared" si="6"/>
        <v>0</v>
      </c>
      <c r="E250" s="549">
        <f t="shared" si="11"/>
        <v>0</v>
      </c>
      <c r="F250" s="548">
        <f t="shared" si="7"/>
        <v>0</v>
      </c>
      <c r="G250" s="550">
        <f t="shared" si="8"/>
        <v>0</v>
      </c>
      <c r="H250" s="550">
        <f t="shared" si="9"/>
        <v>0</v>
      </c>
      <c r="I250" s="551">
        <f t="shared" si="10"/>
        <v>0</v>
      </c>
      <c r="J250" s="541"/>
      <c r="K250" s="562"/>
      <c r="L250" s="552"/>
      <c r="M250" s="562"/>
      <c r="N250" s="552"/>
      <c r="O250" s="552"/>
    </row>
    <row r="251" spans="3:15">
      <c r="C251" s="495" t="s">
        <v>91</v>
      </c>
      <c r="D251" s="492"/>
      <c r="E251" s="492">
        <f>SUM(E191:E250)</f>
        <v>15264783.670000002</v>
      </c>
      <c r="F251" s="492"/>
      <c r="G251" s="492">
        <f>SUM(G191:G250)</f>
        <v>46869036.724510252</v>
      </c>
      <c r="H251" s="492">
        <f>SUM(H191:H250)</f>
        <v>46869036.724510252</v>
      </c>
      <c r="I251" s="492">
        <f>SUM(I191:I250)</f>
        <v>0</v>
      </c>
      <c r="J251" s="492"/>
      <c r="K251" s="492"/>
      <c r="L251" s="492"/>
      <c r="M251" s="492"/>
      <c r="N251" s="492"/>
      <c r="O251" s="3"/>
    </row>
    <row r="252" spans="3:15">
      <c r="D252" s="47"/>
      <c r="E252" s="3"/>
      <c r="F252" s="3"/>
      <c r="G252" s="3"/>
      <c r="H252" s="479"/>
      <c r="I252" s="479"/>
      <c r="J252" s="492"/>
      <c r="K252" s="479"/>
      <c r="L252" s="479"/>
      <c r="M252" s="479"/>
      <c r="N252" s="479"/>
      <c r="O252" s="3"/>
    </row>
    <row r="253" spans="3:15">
      <c r="C253" s="3" t="s">
        <v>13</v>
      </c>
      <c r="D253" s="47"/>
      <c r="E253" s="3"/>
      <c r="F253" s="3"/>
      <c r="G253" s="3"/>
      <c r="H253" s="479"/>
      <c r="I253" s="479"/>
      <c r="J253" s="492"/>
      <c r="K253" s="479"/>
      <c r="L253" s="479"/>
      <c r="M253" s="479"/>
      <c r="N253" s="479"/>
      <c r="O253" s="3"/>
    </row>
    <row r="254" spans="3:15">
      <c r="C254" s="3"/>
      <c r="D254" s="47"/>
      <c r="E254" s="3"/>
      <c r="F254" s="3"/>
      <c r="G254" s="3"/>
      <c r="H254" s="479"/>
      <c r="I254" s="479"/>
      <c r="J254" s="492"/>
      <c r="K254" s="479"/>
      <c r="L254" s="479"/>
      <c r="M254" s="479"/>
      <c r="N254" s="479"/>
      <c r="O254" s="3"/>
    </row>
    <row r="255" spans="3:15">
      <c r="C255" s="507" t="s">
        <v>14</v>
      </c>
      <c r="D255" s="495"/>
      <c r="E255" s="495"/>
      <c r="F255" s="495"/>
      <c r="G255" s="492"/>
      <c r="H255" s="492"/>
      <c r="I255" s="553"/>
      <c r="J255" s="553"/>
      <c r="K255" s="553"/>
      <c r="L255" s="553"/>
      <c r="M255" s="553"/>
      <c r="N255" s="553"/>
      <c r="O255" s="3"/>
    </row>
    <row r="256" spans="3:15">
      <c r="C256" s="496" t="s">
        <v>271</v>
      </c>
      <c r="D256" s="495"/>
      <c r="E256" s="495"/>
      <c r="F256" s="495"/>
      <c r="G256" s="492"/>
      <c r="H256" s="492"/>
      <c r="I256" s="553"/>
      <c r="J256" s="553"/>
      <c r="K256" s="553"/>
      <c r="L256" s="553"/>
      <c r="M256" s="553"/>
      <c r="N256" s="553"/>
      <c r="O256" s="3"/>
    </row>
    <row r="257" spans="1:16">
      <c r="C257" s="496" t="s">
        <v>92</v>
      </c>
      <c r="D257" s="495"/>
      <c r="E257" s="495"/>
      <c r="F257" s="495"/>
      <c r="G257" s="492"/>
      <c r="H257" s="492"/>
      <c r="I257" s="553"/>
      <c r="J257" s="553"/>
      <c r="K257" s="553"/>
      <c r="L257" s="553"/>
      <c r="M257" s="553"/>
      <c r="N257" s="553"/>
      <c r="O257" s="3"/>
    </row>
    <row r="258" spans="1:16">
      <c r="C258" s="496"/>
      <c r="D258" s="495"/>
      <c r="E258" s="495"/>
      <c r="F258" s="495"/>
      <c r="G258" s="492"/>
      <c r="H258" s="492"/>
      <c r="I258" s="553"/>
      <c r="J258" s="553"/>
      <c r="K258" s="553"/>
      <c r="L258" s="553"/>
      <c r="M258" s="553"/>
      <c r="N258" s="553"/>
      <c r="O258" s="3"/>
    </row>
    <row r="259" spans="1:16">
      <c r="C259" s="1185" t="s">
        <v>6</v>
      </c>
      <c r="D259" s="1185"/>
      <c r="E259" s="1185"/>
      <c r="F259" s="1185"/>
      <c r="G259" s="1185"/>
      <c r="H259" s="1185"/>
      <c r="I259" s="1185"/>
      <c r="J259" s="1185"/>
      <c r="K259" s="1185"/>
      <c r="L259" s="1185"/>
      <c r="M259" s="1185"/>
      <c r="N259" s="1185"/>
      <c r="O259" s="1185"/>
    </row>
    <row r="260" spans="1:16">
      <c r="C260" s="1185"/>
      <c r="D260" s="1185"/>
      <c r="E260" s="1185"/>
      <c r="F260" s="1185"/>
      <c r="G260" s="1185"/>
      <c r="H260" s="1185"/>
      <c r="I260" s="1185"/>
      <c r="J260" s="1185"/>
      <c r="K260" s="1185"/>
      <c r="L260" s="1185"/>
      <c r="M260" s="1185"/>
      <c r="N260" s="1185"/>
      <c r="O260" s="1185"/>
    </row>
    <row r="261" spans="1:16" ht="20.25">
      <c r="A261" s="436" t="str">
        <f>""&amp;A185&amp;" Worksheet J -  ATRR PROJECTED Calculation for PJM Projects Charged to Benefiting Zones"</f>
        <v xml:space="preserve"> Worksheet J -  ATRR PROJECTED Calculation for PJM Projects Charged to Benefiting Zones</v>
      </c>
      <c r="B261" s="3"/>
      <c r="C261" s="3"/>
      <c r="D261" s="47"/>
      <c r="E261" s="3"/>
      <c r="F261" s="478"/>
      <c r="G261" s="3"/>
      <c r="H261" s="479"/>
      <c r="K261" s="387"/>
      <c r="L261" s="387"/>
      <c r="M261" s="387"/>
      <c r="N261" s="387" t="str">
        <f>"Page "&amp;SUM(P$8:P261)&amp;" of "</f>
        <v xml:space="preserve">Page 4 of </v>
      </c>
      <c r="O261" s="437">
        <f>COUNT(P$8:P$56562)</f>
        <v>12</v>
      </c>
      <c r="P261">
        <v>1</v>
      </c>
    </row>
    <row r="262" spans="1:16">
      <c r="B262" s="3"/>
      <c r="C262" s="3"/>
      <c r="D262" s="47"/>
      <c r="E262" s="3"/>
      <c r="F262" s="3"/>
      <c r="G262" s="3"/>
      <c r="H262" s="479"/>
      <c r="I262" s="3"/>
      <c r="J262" s="3"/>
      <c r="K262" s="3"/>
      <c r="L262" s="3"/>
      <c r="M262" s="3"/>
      <c r="N262" s="3"/>
      <c r="O262" s="3"/>
    </row>
    <row r="263" spans="1:16" ht="18">
      <c r="B263" s="438" t="s">
        <v>472</v>
      </c>
      <c r="C263" s="119" t="s">
        <v>93</v>
      </c>
      <c r="D263" s="47"/>
      <c r="E263" s="3"/>
      <c r="F263" s="3"/>
      <c r="G263" s="3"/>
      <c r="H263" s="479"/>
      <c r="I263" s="479"/>
      <c r="J263" s="492"/>
      <c r="K263" s="479"/>
      <c r="L263" s="479"/>
      <c r="M263" s="479"/>
      <c r="N263" s="479"/>
      <c r="O263" s="3"/>
    </row>
    <row r="264" spans="1:16" ht="18.75">
      <c r="B264" s="438"/>
      <c r="C264" s="6"/>
      <c r="D264" s="47"/>
      <c r="E264" s="3"/>
      <c r="F264" s="3"/>
      <c r="G264" s="3"/>
      <c r="H264" s="479"/>
      <c r="I264" s="479"/>
      <c r="J264" s="492"/>
      <c r="K264" s="479"/>
      <c r="L264" s="479"/>
      <c r="M264" s="479"/>
      <c r="N264" s="479"/>
      <c r="O264" s="3"/>
    </row>
    <row r="265" spans="1:16" ht="18.75">
      <c r="B265" s="438"/>
      <c r="C265" s="6" t="s">
        <v>94</v>
      </c>
      <c r="D265" s="47"/>
      <c r="E265" s="3"/>
      <c r="F265" s="3"/>
      <c r="G265" s="3"/>
      <c r="H265" s="479"/>
      <c r="I265" s="479"/>
      <c r="J265" s="492"/>
      <c r="K265" s="479"/>
      <c r="L265" s="479"/>
      <c r="M265" s="479"/>
      <c r="N265" s="479"/>
      <c r="O265" s="3"/>
    </row>
    <row r="266" spans="1:16" ht="15.75" thickBot="1">
      <c r="C266" s="128"/>
      <c r="D266" s="47"/>
      <c r="E266" s="3"/>
      <c r="F266" s="3"/>
      <c r="G266" s="3"/>
      <c r="H266" s="479"/>
      <c r="I266" s="479"/>
      <c r="J266" s="492"/>
      <c r="K266" s="479"/>
      <c r="L266" s="479"/>
      <c r="M266" s="479"/>
      <c r="N266" s="479"/>
      <c r="O266" s="3"/>
    </row>
    <row r="267" spans="1:16" ht="15.75">
      <c r="C267" s="440" t="s">
        <v>95</v>
      </c>
      <c r="D267" s="47"/>
      <c r="E267" s="3"/>
      <c r="F267" s="3"/>
      <c r="G267" s="555"/>
      <c r="H267" s="3" t="s">
        <v>74</v>
      </c>
      <c r="I267" s="3"/>
      <c r="J267" s="3"/>
      <c r="K267" s="498" t="s">
        <v>99</v>
      </c>
      <c r="L267" s="499"/>
      <c r="M267" s="500"/>
      <c r="N267" s="501">
        <f>IF(I273=0,0,VLOOKUP(I273,C280:O339,5))</f>
        <v>585387.5820641875</v>
      </c>
      <c r="O267" s="3"/>
    </row>
    <row r="268" spans="1:16" ht="15.75">
      <c r="C268" s="440"/>
      <c r="D268" s="47"/>
      <c r="E268" s="3"/>
      <c r="F268" s="3"/>
      <c r="G268" s="3"/>
      <c r="H268" s="502"/>
      <c r="I268" s="502"/>
      <c r="J268" s="503"/>
      <c r="K268" s="504" t="s">
        <v>100</v>
      </c>
      <c r="L268" s="505"/>
      <c r="M268" s="3"/>
      <c r="N268" s="506">
        <f>IF(I273=0,0,VLOOKUP(I273,C280:O339,6))</f>
        <v>585387.5820641875</v>
      </c>
      <c r="O268" s="3"/>
    </row>
    <row r="269" spans="1:16" ht="13.5" thickBot="1">
      <c r="C269" s="507" t="s">
        <v>96</v>
      </c>
      <c r="D269" s="1196" t="s">
        <v>813</v>
      </c>
      <c r="E269" s="1196"/>
      <c r="F269" s="1196"/>
      <c r="G269" s="1196"/>
      <c r="H269" s="1196"/>
      <c r="I269" s="1196"/>
      <c r="J269" s="492"/>
      <c r="K269" s="508" t="s">
        <v>238</v>
      </c>
      <c r="L269" s="509"/>
      <c r="M269" s="509"/>
      <c r="N269" s="510">
        <f>+N268-N267</f>
        <v>0</v>
      </c>
      <c r="O269" s="3"/>
    </row>
    <row r="270" spans="1:16">
      <c r="C270" s="511"/>
      <c r="D270" s="1196"/>
      <c r="E270" s="1196"/>
      <c r="F270" s="1196"/>
      <c r="G270" s="1196"/>
      <c r="H270" s="1196"/>
      <c r="I270" s="1196"/>
      <c r="J270" s="492"/>
      <c r="K270" s="479"/>
      <c r="L270" s="479"/>
      <c r="M270" s="479"/>
      <c r="N270" s="479"/>
      <c r="O270" s="3"/>
    </row>
    <row r="271" spans="1:16" ht="13.5" thickBot="1">
      <c r="C271" s="511"/>
      <c r="D271" s="3"/>
      <c r="E271" s="513"/>
      <c r="F271" s="513"/>
      <c r="G271" s="513"/>
      <c r="H271" s="513"/>
      <c r="I271" s="513"/>
      <c r="J271" s="513"/>
      <c r="K271" s="513"/>
      <c r="L271" s="513"/>
      <c r="M271" s="513"/>
      <c r="N271" s="513"/>
      <c r="O271" s="3"/>
    </row>
    <row r="272" spans="1:16" ht="13.5" thickBot="1">
      <c r="C272" s="514" t="s">
        <v>97</v>
      </c>
      <c r="D272" s="515"/>
      <c r="E272" s="515"/>
      <c r="F272" s="515"/>
      <c r="G272" s="515"/>
      <c r="H272" s="515"/>
      <c r="I272" s="516"/>
      <c r="K272" s="3"/>
      <c r="L272" s="3"/>
      <c r="M272" s="3"/>
      <c r="N272" s="3"/>
      <c r="O272" s="3"/>
    </row>
    <row r="273" spans="2:15" ht="15">
      <c r="C273" s="517" t="s">
        <v>75</v>
      </c>
      <c r="D273" s="557">
        <v>5805542.5700000003</v>
      </c>
      <c r="E273" s="3" t="s">
        <v>76</v>
      </c>
      <c r="G273" s="47"/>
      <c r="H273" s="47"/>
      <c r="I273" s="518">
        <f>$L$26</f>
        <v>2026</v>
      </c>
      <c r="J273" s="70"/>
      <c r="K273" s="1186" t="s">
        <v>247</v>
      </c>
      <c r="L273" s="1186"/>
      <c r="M273" s="1186"/>
      <c r="N273" s="1186"/>
      <c r="O273" s="1186"/>
    </row>
    <row r="274" spans="2:15">
      <c r="C274" s="517" t="s">
        <v>78</v>
      </c>
      <c r="D274" s="558">
        <v>2013</v>
      </c>
      <c r="E274" s="517" t="s">
        <v>79</v>
      </c>
      <c r="F274" s="47"/>
      <c r="H274"/>
      <c r="I274" s="559">
        <f>IF(G267="",0,$F$17)</f>
        <v>0</v>
      </c>
      <c r="J274" s="519"/>
      <c r="K274" s="492" t="s">
        <v>247</v>
      </c>
    </row>
    <row r="275" spans="2:15">
      <c r="C275" s="517" t="s">
        <v>80</v>
      </c>
      <c r="D275" s="557">
        <v>12</v>
      </c>
      <c r="E275" s="517" t="s">
        <v>81</v>
      </c>
      <c r="F275" s="47"/>
      <c r="H275"/>
      <c r="I275" s="520">
        <f>$G$70</f>
        <v>0.11191367266500543</v>
      </c>
      <c r="J275" s="478"/>
      <c r="K275" t="str">
        <f>"          INPUT PROJECTED ARR (WITH &amp; WITHOUT INCENTIVES) FROM EACH PRIOR YEAR"</f>
        <v xml:space="preserve">          INPUT PROJECTED ARR (WITH &amp; WITHOUT INCENTIVES) FROM EACH PRIOR YEAR</v>
      </c>
    </row>
    <row r="276" spans="2:15">
      <c r="C276" s="517" t="s">
        <v>82</v>
      </c>
      <c r="D276" s="521">
        <f>$G$79</f>
        <v>36</v>
      </c>
      <c r="E276" s="517" t="s">
        <v>83</v>
      </c>
      <c r="F276" s="47"/>
      <c r="H276"/>
      <c r="I276" s="520">
        <f>IF(G267="",I275,$G$69)</f>
        <v>0.11191367266500543</v>
      </c>
      <c r="J276" s="478"/>
      <c r="K276" t="s">
        <v>160</v>
      </c>
    </row>
    <row r="277" spans="2:15" ht="13.5" thickBot="1">
      <c r="C277" s="517" t="s">
        <v>84</v>
      </c>
      <c r="D277" s="556" t="s">
        <v>810</v>
      </c>
      <c r="E277" s="522" t="s">
        <v>85</v>
      </c>
      <c r="F277" s="523"/>
      <c r="G277" s="524"/>
      <c r="H277" s="524"/>
      <c r="I277" s="510">
        <f>IF(D273=0,0,D273/D276)</f>
        <v>161265.0713888889</v>
      </c>
      <c r="J277" s="492"/>
      <c r="K277" s="492" t="s">
        <v>166</v>
      </c>
      <c r="L277" s="492"/>
      <c r="M277" s="492"/>
      <c r="N277" s="492"/>
      <c r="O277" s="3"/>
    </row>
    <row r="278" spans="2:15" ht="51">
      <c r="B278" s="439"/>
      <c r="C278" s="525" t="s">
        <v>75</v>
      </c>
      <c r="D278" s="526" t="s">
        <v>86</v>
      </c>
      <c r="E278" s="527" t="s">
        <v>87</v>
      </c>
      <c r="F278" s="526" t="s">
        <v>88</v>
      </c>
      <c r="G278" s="527" t="s">
        <v>159</v>
      </c>
      <c r="H278" s="528" t="s">
        <v>159</v>
      </c>
      <c r="I278" s="525" t="s">
        <v>98</v>
      </c>
      <c r="J278" s="529"/>
      <c r="K278" s="527" t="s">
        <v>168</v>
      </c>
      <c r="L278" s="530"/>
      <c r="M278" s="527" t="s">
        <v>168</v>
      </c>
      <c r="N278" s="530"/>
      <c r="O278" s="530"/>
    </row>
    <row r="279" spans="2:15" ht="13.5" thickBot="1">
      <c r="C279" s="531" t="s">
        <v>475</v>
      </c>
      <c r="D279" s="532" t="s">
        <v>476</v>
      </c>
      <c r="E279" s="531" t="s">
        <v>369</v>
      </c>
      <c r="F279" s="532" t="s">
        <v>476</v>
      </c>
      <c r="G279" s="533" t="s">
        <v>101</v>
      </c>
      <c r="H279" s="534" t="s">
        <v>103</v>
      </c>
      <c r="I279" s="531" t="s">
        <v>15</v>
      </c>
      <c r="J279" s="535"/>
      <c r="K279" s="533" t="s">
        <v>90</v>
      </c>
      <c r="L279" s="536"/>
      <c r="M279" s="533" t="s">
        <v>103</v>
      </c>
      <c r="N279" s="536"/>
      <c r="O279" s="536"/>
    </row>
    <row r="280" spans="2:15">
      <c r="C280" s="537">
        <f>IF(D274= "","-",D274)</f>
        <v>2013</v>
      </c>
      <c r="D280" s="495">
        <f>+D273</f>
        <v>5805542.5700000003</v>
      </c>
      <c r="E280" s="538">
        <f>+I277/12*(12-D275)</f>
        <v>0</v>
      </c>
      <c r="F280" s="495">
        <f>+D280-E280</f>
        <v>5805542.5700000003</v>
      </c>
      <c r="G280" s="705">
        <f>+$I$96*((D280+F280)/2)+E280</f>
        <v>649719.5908217344</v>
      </c>
      <c r="H280" s="706">
        <f>$I$97*((D280+F280)/2)+E280</f>
        <v>649719.5908217344</v>
      </c>
      <c r="I280" s="541">
        <f>+H280-G280</f>
        <v>0</v>
      </c>
      <c r="J280" s="541"/>
      <c r="K280" s="560">
        <v>461439</v>
      </c>
      <c r="L280" s="542"/>
      <c r="M280" s="560">
        <v>461439</v>
      </c>
      <c r="N280" s="542"/>
      <c r="O280" s="542"/>
    </row>
    <row r="281" spans="2:15">
      <c r="C281" s="537">
        <f>IF(D274="","-",+C280+1)</f>
        <v>2014</v>
      </c>
      <c r="D281" s="495">
        <f t="shared" ref="D281:D339" si="12">F280</f>
        <v>5805542.5700000003</v>
      </c>
      <c r="E281" s="538">
        <f>IF(D281&gt;$I$277,$I$277,D281)</f>
        <v>161265.0713888889</v>
      </c>
      <c r="F281" s="495">
        <f t="shared" ref="F281:F339" si="13">+D281-E281</f>
        <v>5644277.4986111112</v>
      </c>
      <c r="G281" s="543">
        <f t="shared" ref="G281:G339" si="14">+$I$96*((D281+F281)/2)+E281</f>
        <v>801960.77900476591</v>
      </c>
      <c r="H281" s="544">
        <f t="shared" ref="H281:H339" si="15">$I$97*((D281+F281)/2)+E281</f>
        <v>801960.77900476591</v>
      </c>
      <c r="I281" s="541">
        <f t="shared" ref="I281:I339" si="16">+H281-G281</f>
        <v>0</v>
      </c>
      <c r="J281" s="541"/>
      <c r="K281" s="561">
        <v>626067</v>
      </c>
      <c r="L281" s="545"/>
      <c r="M281" s="561">
        <v>626067</v>
      </c>
      <c r="N281" s="545"/>
      <c r="O281" s="545"/>
    </row>
    <row r="282" spans="2:15">
      <c r="C282" s="537">
        <f>IF(D274="","-",+C281+1)</f>
        <v>2015</v>
      </c>
      <c r="D282" s="495">
        <f t="shared" si="12"/>
        <v>5644277.4986111112</v>
      </c>
      <c r="E282" s="538">
        <f t="shared" ref="E282:E339" si="17">IF(D282&gt;$I$277,$I$277,D282)</f>
        <v>161265.0713888889</v>
      </c>
      <c r="F282" s="495">
        <f t="shared" si="13"/>
        <v>5483012.4272222221</v>
      </c>
      <c r="G282" s="543">
        <f t="shared" si="14"/>
        <v>783913.01259305095</v>
      </c>
      <c r="H282" s="544">
        <f t="shared" si="15"/>
        <v>783913.01259305095</v>
      </c>
      <c r="I282" s="541">
        <f t="shared" si="16"/>
        <v>0</v>
      </c>
      <c r="J282" s="541"/>
      <c r="K282" s="561">
        <v>697699</v>
      </c>
      <c r="L282" s="545"/>
      <c r="M282" s="561">
        <v>697699</v>
      </c>
      <c r="N282" s="545"/>
      <c r="O282" s="545"/>
    </row>
    <row r="283" spans="2:15">
      <c r="C283" s="537">
        <f>IF(D274="","-",+C282+1)</f>
        <v>2016</v>
      </c>
      <c r="D283" s="495">
        <f t="shared" si="12"/>
        <v>5483012.4272222221</v>
      </c>
      <c r="E283" s="538">
        <f t="shared" si="17"/>
        <v>161265.0713888889</v>
      </c>
      <c r="F283" s="495">
        <f t="shared" si="13"/>
        <v>5321747.355833333</v>
      </c>
      <c r="G283" s="543">
        <f t="shared" si="14"/>
        <v>765865.24618133612</v>
      </c>
      <c r="H283" s="544">
        <f t="shared" si="15"/>
        <v>765865.24618133612</v>
      </c>
      <c r="I283" s="541">
        <f t="shared" si="16"/>
        <v>0</v>
      </c>
      <c r="J283" s="541"/>
      <c r="K283" s="561">
        <v>692483</v>
      </c>
      <c r="L283" s="545"/>
      <c r="M283" s="561">
        <v>692483</v>
      </c>
      <c r="N283" s="545"/>
      <c r="O283" s="545"/>
    </row>
    <row r="284" spans="2:15">
      <c r="C284" s="537">
        <f>IF(D274="","-",+C283+1)</f>
        <v>2017</v>
      </c>
      <c r="D284" s="495">
        <f t="shared" si="12"/>
        <v>5321747.355833333</v>
      </c>
      <c r="E284" s="538">
        <f t="shared" si="17"/>
        <v>161265.0713888889</v>
      </c>
      <c r="F284" s="495">
        <f t="shared" si="13"/>
        <v>5160482.2844444439</v>
      </c>
      <c r="G284" s="543">
        <f t="shared" si="14"/>
        <v>747817.47976962128</v>
      </c>
      <c r="H284" s="544">
        <f t="shared" si="15"/>
        <v>747817.47976962128</v>
      </c>
      <c r="I284" s="541">
        <f t="shared" si="16"/>
        <v>0</v>
      </c>
      <c r="J284" s="541"/>
      <c r="K284" s="561">
        <v>737310</v>
      </c>
      <c r="L284" s="545"/>
      <c r="M284" s="561">
        <v>737310</v>
      </c>
      <c r="N284" s="545"/>
      <c r="O284" s="545"/>
    </row>
    <row r="285" spans="2:15">
      <c r="C285" s="943">
        <f>IF(D274="","-",+C284+1)</f>
        <v>2018</v>
      </c>
      <c r="D285" s="495">
        <f t="shared" si="12"/>
        <v>5160482.2844444439</v>
      </c>
      <c r="E285" s="538">
        <f t="shared" si="17"/>
        <v>161265.0713888889</v>
      </c>
      <c r="F285" s="495">
        <f t="shared" si="13"/>
        <v>4999217.2130555548</v>
      </c>
      <c r="G285" s="543">
        <f t="shared" si="14"/>
        <v>729769.71335790632</v>
      </c>
      <c r="H285" s="544">
        <f t="shared" si="15"/>
        <v>729769.71335790632</v>
      </c>
      <c r="I285" s="541">
        <f t="shared" si="16"/>
        <v>0</v>
      </c>
      <c r="J285" s="541"/>
      <c r="K285" s="561">
        <v>631912</v>
      </c>
      <c r="L285" s="545"/>
      <c r="M285" s="561">
        <v>631912</v>
      </c>
      <c r="N285" s="545"/>
      <c r="O285" s="545"/>
    </row>
    <row r="286" spans="2:15">
      <c r="C286" s="537">
        <f>IF(D273="","-",+C285+1)</f>
        <v>2019</v>
      </c>
      <c r="D286" s="495">
        <f t="shared" si="12"/>
        <v>4999217.2130555548</v>
      </c>
      <c r="E286" s="538">
        <f t="shared" si="17"/>
        <v>161265.0713888889</v>
      </c>
      <c r="F286" s="495">
        <f t="shared" si="13"/>
        <v>4837952.1416666657</v>
      </c>
      <c r="G286" s="543">
        <f t="shared" si="14"/>
        <v>711721.94694619149</v>
      </c>
      <c r="H286" s="544">
        <f t="shared" si="15"/>
        <v>711721.94694619149</v>
      </c>
      <c r="I286" s="541">
        <f t="shared" si="16"/>
        <v>0</v>
      </c>
      <c r="J286" s="541"/>
      <c r="K286" s="561">
        <v>663515.84898093005</v>
      </c>
      <c r="L286" s="545"/>
      <c r="M286" s="561">
        <v>663515.84898093005</v>
      </c>
      <c r="N286" s="545"/>
      <c r="O286" s="545"/>
    </row>
    <row r="287" spans="2:15">
      <c r="C287" s="537">
        <f>IF(D273="","-",+C286+1)</f>
        <v>2020</v>
      </c>
      <c r="D287" s="495">
        <f t="shared" si="12"/>
        <v>4837952.1416666657</v>
      </c>
      <c r="E287" s="538">
        <f t="shared" si="17"/>
        <v>161265.0713888889</v>
      </c>
      <c r="F287" s="495">
        <f t="shared" si="13"/>
        <v>4676687.0702777766</v>
      </c>
      <c r="G287" s="543">
        <f t="shared" si="14"/>
        <v>693674.18053447665</v>
      </c>
      <c r="H287" s="544">
        <f t="shared" si="15"/>
        <v>693674.18053447665</v>
      </c>
      <c r="I287" s="541">
        <f t="shared" si="16"/>
        <v>0</v>
      </c>
      <c r="J287" s="541"/>
      <c r="K287" s="561">
        <v>671524.69930000929</v>
      </c>
      <c r="L287" s="545"/>
      <c r="M287" s="561">
        <v>671524.69930000929</v>
      </c>
      <c r="N287" s="545"/>
      <c r="O287" s="545"/>
    </row>
    <row r="288" spans="2:15">
      <c r="C288" s="537">
        <f>IF(D274="","-",+C287+1)</f>
        <v>2021</v>
      </c>
      <c r="D288" s="495">
        <f t="shared" si="12"/>
        <v>4676687.0702777766</v>
      </c>
      <c r="E288" s="538">
        <f t="shared" si="17"/>
        <v>161265.0713888889</v>
      </c>
      <c r="F288" s="495">
        <f t="shared" si="13"/>
        <v>4515421.9988888875</v>
      </c>
      <c r="G288" s="543">
        <f t="shared" si="14"/>
        <v>675626.41412276181</v>
      </c>
      <c r="H288" s="544">
        <f t="shared" si="15"/>
        <v>675626.41412276181</v>
      </c>
      <c r="I288" s="541">
        <f t="shared" si="16"/>
        <v>0</v>
      </c>
      <c r="J288" s="541"/>
      <c r="K288" s="561">
        <v>658579.34236016381</v>
      </c>
      <c r="L288" s="545"/>
      <c r="M288" s="561">
        <v>658579.34236016381</v>
      </c>
      <c r="N288" s="545"/>
      <c r="O288" s="545"/>
    </row>
    <row r="289" spans="3:15">
      <c r="C289" s="537">
        <f>IF(D273="","-",+C288+1)</f>
        <v>2022</v>
      </c>
      <c r="D289" s="495">
        <f t="shared" si="12"/>
        <v>4515421.9988888875</v>
      </c>
      <c r="E289" s="538">
        <f t="shared" si="17"/>
        <v>161265.0713888889</v>
      </c>
      <c r="F289" s="495">
        <f t="shared" si="13"/>
        <v>4354156.9274999984</v>
      </c>
      <c r="G289" s="543">
        <f t="shared" si="14"/>
        <v>657578.64771104697</v>
      </c>
      <c r="H289" s="544">
        <f t="shared" si="15"/>
        <v>657578.64771104697</v>
      </c>
      <c r="I289" s="541">
        <f t="shared" si="16"/>
        <v>0</v>
      </c>
      <c r="J289" s="541"/>
      <c r="K289" s="561">
        <v>667726.0237932466</v>
      </c>
      <c r="L289" s="545"/>
      <c r="M289" s="561">
        <v>667726.0237932466</v>
      </c>
      <c r="N289" s="545"/>
      <c r="O289" s="545"/>
    </row>
    <row r="290" spans="3:15">
      <c r="C290" s="537">
        <f>IF(D273="","-",+C289+1)</f>
        <v>2023</v>
      </c>
      <c r="D290" s="495">
        <f t="shared" si="12"/>
        <v>4354156.9274999984</v>
      </c>
      <c r="E290" s="538">
        <f t="shared" si="17"/>
        <v>161265.0713888889</v>
      </c>
      <c r="F290" s="495">
        <f t="shared" si="13"/>
        <v>4192891.8561111093</v>
      </c>
      <c r="G290" s="543">
        <f t="shared" si="14"/>
        <v>639530.88129933202</v>
      </c>
      <c r="H290" s="544">
        <f t="shared" si="15"/>
        <v>639530.88129933202</v>
      </c>
      <c r="I290" s="541">
        <f t="shared" si="16"/>
        <v>0</v>
      </c>
      <c r="J290" s="541"/>
      <c r="K290" s="561">
        <v>649493.20011360268</v>
      </c>
      <c r="L290" s="545"/>
      <c r="M290" s="561">
        <v>649493.20011360268</v>
      </c>
      <c r="N290" s="545"/>
      <c r="O290" s="545"/>
    </row>
    <row r="291" spans="3:15">
      <c r="C291" s="537">
        <f>IF(D274="","-",+C290+1)</f>
        <v>2024</v>
      </c>
      <c r="D291" s="495">
        <f t="shared" si="12"/>
        <v>4192891.8561111093</v>
      </c>
      <c r="E291" s="538">
        <f t="shared" si="17"/>
        <v>161265.0713888889</v>
      </c>
      <c r="F291" s="495">
        <f t="shared" si="13"/>
        <v>4031626.7847222202</v>
      </c>
      <c r="G291" s="543">
        <f t="shared" si="14"/>
        <v>621483.11488761718</v>
      </c>
      <c r="H291" s="544">
        <f t="shared" si="15"/>
        <v>621483.11488761718</v>
      </c>
      <c r="I291" s="541">
        <f t="shared" si="16"/>
        <v>0</v>
      </c>
      <c r="J291" s="541"/>
      <c r="K291" s="561">
        <v>627582.97079905041</v>
      </c>
      <c r="L291" s="545"/>
      <c r="M291" s="561">
        <v>627582.97079905041</v>
      </c>
      <c r="N291" s="545"/>
      <c r="O291" s="545"/>
    </row>
    <row r="292" spans="3:15">
      <c r="C292" s="537">
        <f>IF(D274="","-",+C291+1)</f>
        <v>2025</v>
      </c>
      <c r="D292" s="495">
        <f t="shared" si="12"/>
        <v>4031626.7847222202</v>
      </c>
      <c r="E292" s="538">
        <f t="shared" si="17"/>
        <v>161265.0713888889</v>
      </c>
      <c r="F292" s="495">
        <f t="shared" si="13"/>
        <v>3870361.713333331</v>
      </c>
      <c r="G292" s="543">
        <f t="shared" si="14"/>
        <v>603435.34847590234</v>
      </c>
      <c r="H292" s="544">
        <f t="shared" si="15"/>
        <v>603435.34847590234</v>
      </c>
      <c r="I292" s="541">
        <f t="shared" si="16"/>
        <v>0</v>
      </c>
      <c r="J292" s="541"/>
      <c r="K292" s="561">
        <v>615330.93892352469</v>
      </c>
      <c r="L292" s="545"/>
      <c r="M292" s="561">
        <v>615330.93892352469</v>
      </c>
      <c r="N292" s="546"/>
      <c r="O292" s="545"/>
    </row>
    <row r="293" spans="3:15">
      <c r="C293" s="935">
        <f>IF(D274="","-",+C292+1)</f>
        <v>2026</v>
      </c>
      <c r="D293" s="495">
        <f t="shared" si="12"/>
        <v>3870361.713333331</v>
      </c>
      <c r="E293" s="538">
        <f t="shared" si="17"/>
        <v>161265.0713888889</v>
      </c>
      <c r="F293" s="495">
        <f t="shared" si="13"/>
        <v>3709096.6419444419</v>
      </c>
      <c r="G293" s="543">
        <f t="shared" si="14"/>
        <v>585387.5820641875</v>
      </c>
      <c r="H293" s="544">
        <f t="shared" si="15"/>
        <v>585387.5820641875</v>
      </c>
      <c r="I293" s="541">
        <f t="shared" si="16"/>
        <v>0</v>
      </c>
      <c r="J293" s="541"/>
      <c r="K293" s="561"/>
      <c r="L293" s="545"/>
      <c r="M293" s="561"/>
      <c r="N293" s="545"/>
      <c r="O293" s="545"/>
    </row>
    <row r="294" spans="3:15">
      <c r="C294" s="537">
        <f>IF(D274="","-",+C293+1)</f>
        <v>2027</v>
      </c>
      <c r="D294" s="495">
        <f t="shared" si="12"/>
        <v>3709096.6419444419</v>
      </c>
      <c r="E294" s="538">
        <f t="shared" si="17"/>
        <v>161265.0713888889</v>
      </c>
      <c r="F294" s="495">
        <f t="shared" si="13"/>
        <v>3547831.5705555528</v>
      </c>
      <c r="G294" s="543">
        <f t="shared" si="14"/>
        <v>567339.81565247255</v>
      </c>
      <c r="H294" s="544">
        <f t="shared" si="15"/>
        <v>567339.81565247255</v>
      </c>
      <c r="I294" s="541">
        <f t="shared" si="16"/>
        <v>0</v>
      </c>
      <c r="J294" s="541"/>
      <c r="K294" s="561"/>
      <c r="L294" s="545"/>
      <c r="M294" s="561"/>
      <c r="N294" s="545"/>
      <c r="O294" s="545"/>
    </row>
    <row r="295" spans="3:15">
      <c r="C295" s="537">
        <f>IF(D274="","-",+C294+1)</f>
        <v>2028</v>
      </c>
      <c r="D295" s="495">
        <f t="shared" si="12"/>
        <v>3547831.5705555528</v>
      </c>
      <c r="E295" s="538">
        <f t="shared" si="17"/>
        <v>161265.0713888889</v>
      </c>
      <c r="F295" s="495">
        <f t="shared" si="13"/>
        <v>3386566.4991666637</v>
      </c>
      <c r="G295" s="543">
        <f t="shared" si="14"/>
        <v>549292.04924075771</v>
      </c>
      <c r="H295" s="544">
        <f t="shared" si="15"/>
        <v>549292.04924075771</v>
      </c>
      <c r="I295" s="541">
        <f t="shared" si="16"/>
        <v>0</v>
      </c>
      <c r="J295" s="541"/>
      <c r="K295" s="561"/>
      <c r="L295" s="545"/>
      <c r="M295" s="561"/>
      <c r="N295" s="545"/>
      <c r="O295" s="545"/>
    </row>
    <row r="296" spans="3:15">
      <c r="C296" s="537">
        <f>IF(D274="","-",+C295+1)</f>
        <v>2029</v>
      </c>
      <c r="D296" s="495">
        <f t="shared" si="12"/>
        <v>3386566.4991666637</v>
      </c>
      <c r="E296" s="538">
        <f t="shared" si="17"/>
        <v>161265.0713888889</v>
      </c>
      <c r="F296" s="495">
        <f t="shared" si="13"/>
        <v>3225301.4277777746</v>
      </c>
      <c r="G296" s="543">
        <f t="shared" si="14"/>
        <v>531244.28282904287</v>
      </c>
      <c r="H296" s="544">
        <f t="shared" si="15"/>
        <v>531244.28282904287</v>
      </c>
      <c r="I296" s="541">
        <f t="shared" si="16"/>
        <v>0</v>
      </c>
      <c r="J296" s="541"/>
      <c r="K296" s="561"/>
      <c r="L296" s="545"/>
      <c r="M296" s="561"/>
      <c r="N296" s="545"/>
      <c r="O296" s="545"/>
    </row>
    <row r="297" spans="3:15">
      <c r="C297" s="537">
        <f>IF(D274="","-",+C296+1)</f>
        <v>2030</v>
      </c>
      <c r="D297" s="495">
        <f t="shared" si="12"/>
        <v>3225301.4277777746</v>
      </c>
      <c r="E297" s="538">
        <f t="shared" si="17"/>
        <v>161265.0713888889</v>
      </c>
      <c r="F297" s="495">
        <f t="shared" si="13"/>
        <v>3064036.3563888855</v>
      </c>
      <c r="G297" s="543">
        <f t="shared" si="14"/>
        <v>513196.51641732804</v>
      </c>
      <c r="H297" s="544">
        <f t="shared" si="15"/>
        <v>513196.51641732804</v>
      </c>
      <c r="I297" s="541">
        <f t="shared" si="16"/>
        <v>0</v>
      </c>
      <c r="J297" s="541"/>
      <c r="K297" s="561"/>
      <c r="L297" s="545"/>
      <c r="M297" s="561"/>
      <c r="N297" s="545"/>
      <c r="O297" s="545"/>
    </row>
    <row r="298" spans="3:15">
      <c r="C298" s="537">
        <f>IF(D274="","-",+C297+1)</f>
        <v>2031</v>
      </c>
      <c r="D298" s="495">
        <f t="shared" si="12"/>
        <v>3064036.3563888855</v>
      </c>
      <c r="E298" s="538">
        <f t="shared" si="17"/>
        <v>161265.0713888889</v>
      </c>
      <c r="F298" s="495">
        <f t="shared" si="13"/>
        <v>2902771.2849999964</v>
      </c>
      <c r="G298" s="543">
        <f t="shared" si="14"/>
        <v>495148.75000561308</v>
      </c>
      <c r="H298" s="544">
        <f t="shared" si="15"/>
        <v>495148.75000561308</v>
      </c>
      <c r="I298" s="541">
        <f t="shared" si="16"/>
        <v>0</v>
      </c>
      <c r="J298" s="541"/>
      <c r="K298" s="561"/>
      <c r="L298" s="545"/>
      <c r="M298" s="561"/>
      <c r="N298" s="545"/>
      <c r="O298" s="545"/>
    </row>
    <row r="299" spans="3:15">
      <c r="C299" s="537">
        <f>IF(D274="","-",+C298+1)</f>
        <v>2032</v>
      </c>
      <c r="D299" s="495">
        <f t="shared" si="12"/>
        <v>2902771.2849999964</v>
      </c>
      <c r="E299" s="538">
        <f t="shared" si="17"/>
        <v>161265.0713888889</v>
      </c>
      <c r="F299" s="495">
        <f t="shared" si="13"/>
        <v>2741506.2136111073</v>
      </c>
      <c r="G299" s="543">
        <f t="shared" si="14"/>
        <v>477100.98359389824</v>
      </c>
      <c r="H299" s="544">
        <f t="shared" si="15"/>
        <v>477100.98359389824</v>
      </c>
      <c r="I299" s="541">
        <f t="shared" si="16"/>
        <v>0</v>
      </c>
      <c r="J299" s="541"/>
      <c r="K299" s="561"/>
      <c r="L299" s="545"/>
      <c r="M299" s="561"/>
      <c r="N299" s="545"/>
      <c r="O299" s="545"/>
    </row>
    <row r="300" spans="3:15">
      <c r="C300" s="537">
        <f>IF(D274="","-",+C299+1)</f>
        <v>2033</v>
      </c>
      <c r="D300" s="495">
        <f t="shared" si="12"/>
        <v>2741506.2136111073</v>
      </c>
      <c r="E300" s="538">
        <f t="shared" si="17"/>
        <v>161265.0713888889</v>
      </c>
      <c r="F300" s="495">
        <f t="shared" si="13"/>
        <v>2580241.1422222182</v>
      </c>
      <c r="G300" s="543">
        <f t="shared" si="14"/>
        <v>459053.21718218341</v>
      </c>
      <c r="H300" s="544">
        <f t="shared" si="15"/>
        <v>459053.21718218341</v>
      </c>
      <c r="I300" s="541">
        <f t="shared" si="16"/>
        <v>0</v>
      </c>
      <c r="J300" s="541"/>
      <c r="K300" s="561"/>
      <c r="L300" s="545"/>
      <c r="M300" s="561"/>
      <c r="N300" s="545"/>
      <c r="O300" s="545"/>
    </row>
    <row r="301" spans="3:15">
      <c r="C301" s="537">
        <f>IF(D274="","-",+C300+1)</f>
        <v>2034</v>
      </c>
      <c r="D301" s="495">
        <f t="shared" si="12"/>
        <v>2580241.1422222182</v>
      </c>
      <c r="E301" s="538">
        <f t="shared" si="17"/>
        <v>161265.0713888889</v>
      </c>
      <c r="F301" s="495">
        <f t="shared" si="13"/>
        <v>2418976.0708333291</v>
      </c>
      <c r="G301" s="543">
        <f t="shared" si="14"/>
        <v>441005.45077046857</v>
      </c>
      <c r="H301" s="544">
        <f t="shared" si="15"/>
        <v>441005.45077046857</v>
      </c>
      <c r="I301" s="541">
        <f t="shared" si="16"/>
        <v>0</v>
      </c>
      <c r="J301" s="541"/>
      <c r="K301" s="561"/>
      <c r="L301" s="545"/>
      <c r="M301" s="561"/>
      <c r="N301" s="545"/>
      <c r="O301" s="545"/>
    </row>
    <row r="302" spans="3:15">
      <c r="C302" s="537">
        <f>IF(D274="","-",+C301+1)</f>
        <v>2035</v>
      </c>
      <c r="D302" s="495">
        <f t="shared" si="12"/>
        <v>2418976.0708333291</v>
      </c>
      <c r="E302" s="538">
        <f t="shared" si="17"/>
        <v>161265.0713888889</v>
      </c>
      <c r="F302" s="495">
        <f t="shared" si="13"/>
        <v>2257710.99944444</v>
      </c>
      <c r="G302" s="543">
        <f t="shared" si="14"/>
        <v>422957.68435875361</v>
      </c>
      <c r="H302" s="544">
        <f t="shared" si="15"/>
        <v>422957.68435875361</v>
      </c>
      <c r="I302" s="541">
        <f t="shared" si="16"/>
        <v>0</v>
      </c>
      <c r="J302" s="541"/>
      <c r="K302" s="561"/>
      <c r="L302" s="545"/>
      <c r="M302" s="561"/>
      <c r="N302" s="545"/>
      <c r="O302" s="545"/>
    </row>
    <row r="303" spans="3:15">
      <c r="C303" s="537">
        <f>IF(D274="","-",+C302+1)</f>
        <v>2036</v>
      </c>
      <c r="D303" s="495">
        <f t="shared" si="12"/>
        <v>2257710.99944444</v>
      </c>
      <c r="E303" s="538">
        <f t="shared" si="17"/>
        <v>161265.0713888889</v>
      </c>
      <c r="F303" s="495">
        <f t="shared" si="13"/>
        <v>2096445.9280555511</v>
      </c>
      <c r="G303" s="543">
        <f t="shared" si="14"/>
        <v>404909.91794703878</v>
      </c>
      <c r="H303" s="544">
        <f t="shared" si="15"/>
        <v>404909.91794703878</v>
      </c>
      <c r="I303" s="541">
        <f t="shared" si="16"/>
        <v>0</v>
      </c>
      <c r="J303" s="541"/>
      <c r="K303" s="561"/>
      <c r="L303" s="545"/>
      <c r="M303" s="561"/>
      <c r="N303" s="545"/>
      <c r="O303" s="545"/>
    </row>
    <row r="304" spans="3:15">
      <c r="C304" s="537">
        <f>IF(D274="","-",+C303+1)</f>
        <v>2037</v>
      </c>
      <c r="D304" s="495">
        <f t="shared" si="12"/>
        <v>2096445.9280555511</v>
      </c>
      <c r="E304" s="538">
        <f t="shared" si="17"/>
        <v>161265.0713888889</v>
      </c>
      <c r="F304" s="495">
        <f t="shared" si="13"/>
        <v>1935180.8566666623</v>
      </c>
      <c r="G304" s="543">
        <f t="shared" si="14"/>
        <v>386862.15153532394</v>
      </c>
      <c r="H304" s="544">
        <f t="shared" si="15"/>
        <v>386862.15153532394</v>
      </c>
      <c r="I304" s="541">
        <f t="shared" si="16"/>
        <v>0</v>
      </c>
      <c r="J304" s="541"/>
      <c r="K304" s="561"/>
      <c r="L304" s="545"/>
      <c r="M304" s="561"/>
      <c r="N304" s="545"/>
      <c r="O304" s="545"/>
    </row>
    <row r="305" spans="3:15">
      <c r="C305" s="537">
        <f>IF(D274="","-",+C304+1)</f>
        <v>2038</v>
      </c>
      <c r="D305" s="495">
        <f t="shared" si="12"/>
        <v>1935180.8566666623</v>
      </c>
      <c r="E305" s="538">
        <f t="shared" si="17"/>
        <v>161265.0713888889</v>
      </c>
      <c r="F305" s="495">
        <f t="shared" si="13"/>
        <v>1773915.7852777734</v>
      </c>
      <c r="G305" s="543">
        <f t="shared" si="14"/>
        <v>368814.3851236091</v>
      </c>
      <c r="H305" s="544">
        <f t="shared" si="15"/>
        <v>368814.3851236091</v>
      </c>
      <c r="I305" s="541">
        <f t="shared" si="16"/>
        <v>0</v>
      </c>
      <c r="J305" s="541"/>
      <c r="K305" s="561"/>
      <c r="L305" s="545"/>
      <c r="M305" s="561"/>
      <c r="N305" s="545"/>
      <c r="O305" s="545"/>
    </row>
    <row r="306" spans="3:15">
      <c r="C306" s="537">
        <f>IF(D274="","-",+C305+1)</f>
        <v>2039</v>
      </c>
      <c r="D306" s="495">
        <f t="shared" si="12"/>
        <v>1773915.7852777734</v>
      </c>
      <c r="E306" s="538">
        <f t="shared" si="17"/>
        <v>161265.0713888889</v>
      </c>
      <c r="F306" s="495">
        <f t="shared" si="13"/>
        <v>1612650.7138888845</v>
      </c>
      <c r="G306" s="543">
        <f t="shared" si="14"/>
        <v>350766.61871189426</v>
      </c>
      <c r="H306" s="544">
        <f t="shared" si="15"/>
        <v>350766.61871189426</v>
      </c>
      <c r="I306" s="541">
        <f t="shared" si="16"/>
        <v>0</v>
      </c>
      <c r="J306" s="541"/>
      <c r="K306" s="561"/>
      <c r="L306" s="545"/>
      <c r="M306" s="561"/>
      <c r="N306" s="545"/>
      <c r="O306" s="545"/>
    </row>
    <row r="307" spans="3:15">
      <c r="C307" s="537">
        <f>IF(D274="","-",+C306+1)</f>
        <v>2040</v>
      </c>
      <c r="D307" s="495">
        <f t="shared" si="12"/>
        <v>1612650.7138888845</v>
      </c>
      <c r="E307" s="538">
        <f t="shared" si="17"/>
        <v>161265.0713888889</v>
      </c>
      <c r="F307" s="495">
        <f t="shared" si="13"/>
        <v>1451385.6424999957</v>
      </c>
      <c r="G307" s="543">
        <f t="shared" si="14"/>
        <v>332718.85230017942</v>
      </c>
      <c r="H307" s="544">
        <f t="shared" si="15"/>
        <v>332718.85230017942</v>
      </c>
      <c r="I307" s="541">
        <f t="shared" si="16"/>
        <v>0</v>
      </c>
      <c r="J307" s="541"/>
      <c r="K307" s="561"/>
      <c r="L307" s="545"/>
      <c r="M307" s="561"/>
      <c r="N307" s="545"/>
      <c r="O307" s="545"/>
    </row>
    <row r="308" spans="3:15">
      <c r="C308" s="537">
        <f>IF(D274="","-",+C307+1)</f>
        <v>2041</v>
      </c>
      <c r="D308" s="495">
        <f t="shared" si="12"/>
        <v>1451385.6424999957</v>
      </c>
      <c r="E308" s="538">
        <f t="shared" si="17"/>
        <v>161265.0713888889</v>
      </c>
      <c r="F308" s="495">
        <f t="shared" si="13"/>
        <v>1290120.5711111068</v>
      </c>
      <c r="G308" s="539">
        <f t="shared" si="14"/>
        <v>314671.08588846459</v>
      </c>
      <c r="H308" s="544">
        <f t="shared" si="15"/>
        <v>314671.08588846459</v>
      </c>
      <c r="I308" s="541">
        <f t="shared" si="16"/>
        <v>0</v>
      </c>
      <c r="J308" s="541"/>
      <c r="K308" s="561"/>
      <c r="L308" s="545"/>
      <c r="M308" s="561"/>
      <c r="N308" s="545"/>
      <c r="O308" s="545"/>
    </row>
    <row r="309" spans="3:15">
      <c r="C309" s="537">
        <f>IF(D274="","-",+C308+1)</f>
        <v>2042</v>
      </c>
      <c r="D309" s="495">
        <f t="shared" si="12"/>
        <v>1290120.5711111068</v>
      </c>
      <c r="E309" s="538">
        <f t="shared" si="17"/>
        <v>161265.0713888889</v>
      </c>
      <c r="F309" s="495">
        <f t="shared" si="13"/>
        <v>1128855.4997222179</v>
      </c>
      <c r="G309" s="543">
        <f t="shared" si="14"/>
        <v>296623.31947674975</v>
      </c>
      <c r="H309" s="544">
        <f t="shared" si="15"/>
        <v>296623.31947674975</v>
      </c>
      <c r="I309" s="541">
        <f t="shared" si="16"/>
        <v>0</v>
      </c>
      <c r="J309" s="541"/>
      <c r="K309" s="561"/>
      <c r="L309" s="545"/>
      <c r="M309" s="561"/>
      <c r="N309" s="545"/>
      <c r="O309" s="545"/>
    </row>
    <row r="310" spans="3:15">
      <c r="C310" s="537">
        <f>IF(D274="","-",+C309+1)</f>
        <v>2043</v>
      </c>
      <c r="D310" s="495">
        <f t="shared" si="12"/>
        <v>1128855.4997222179</v>
      </c>
      <c r="E310" s="538">
        <f t="shared" si="17"/>
        <v>161265.0713888889</v>
      </c>
      <c r="F310" s="495">
        <f t="shared" si="13"/>
        <v>967590.42833332904</v>
      </c>
      <c r="G310" s="543">
        <f t="shared" si="14"/>
        <v>278575.55306503491</v>
      </c>
      <c r="H310" s="544">
        <f t="shared" si="15"/>
        <v>278575.55306503491</v>
      </c>
      <c r="I310" s="541">
        <f t="shared" si="16"/>
        <v>0</v>
      </c>
      <c r="J310" s="541"/>
      <c r="K310" s="561"/>
      <c r="L310" s="545"/>
      <c r="M310" s="561"/>
      <c r="N310" s="545"/>
      <c r="O310" s="545"/>
    </row>
    <row r="311" spans="3:15">
      <c r="C311" s="537">
        <f>IF(D274="","-",+C310+1)</f>
        <v>2044</v>
      </c>
      <c r="D311" s="495">
        <f t="shared" si="12"/>
        <v>967590.42833332904</v>
      </c>
      <c r="E311" s="538">
        <f t="shared" si="17"/>
        <v>161265.0713888889</v>
      </c>
      <c r="F311" s="495">
        <f t="shared" si="13"/>
        <v>806325.35694444017</v>
      </c>
      <c r="G311" s="543">
        <f t="shared" si="14"/>
        <v>260527.78665332007</v>
      </c>
      <c r="H311" s="544">
        <f t="shared" si="15"/>
        <v>260527.78665332007</v>
      </c>
      <c r="I311" s="541">
        <f t="shared" si="16"/>
        <v>0</v>
      </c>
      <c r="J311" s="541"/>
      <c r="K311" s="561"/>
      <c r="L311" s="545"/>
      <c r="M311" s="561"/>
      <c r="N311" s="545"/>
      <c r="O311" s="545"/>
    </row>
    <row r="312" spans="3:15">
      <c r="C312" s="537">
        <f>IF(D274="","-",+C311+1)</f>
        <v>2045</v>
      </c>
      <c r="D312" s="495">
        <f t="shared" si="12"/>
        <v>806325.35694444017</v>
      </c>
      <c r="E312" s="538">
        <f t="shared" si="17"/>
        <v>161265.0713888889</v>
      </c>
      <c r="F312" s="495">
        <f t="shared" si="13"/>
        <v>645060.28555555129</v>
      </c>
      <c r="G312" s="543">
        <f t="shared" si="14"/>
        <v>242480.02024160523</v>
      </c>
      <c r="H312" s="544">
        <f t="shared" si="15"/>
        <v>242480.02024160523</v>
      </c>
      <c r="I312" s="541">
        <f t="shared" si="16"/>
        <v>0</v>
      </c>
      <c r="J312" s="541"/>
      <c r="K312" s="561"/>
      <c r="L312" s="545"/>
      <c r="M312" s="561"/>
      <c r="N312" s="545"/>
      <c r="O312" s="545"/>
    </row>
    <row r="313" spans="3:15">
      <c r="C313" s="537">
        <f>IF(D274="","-",+C312+1)</f>
        <v>2046</v>
      </c>
      <c r="D313" s="495">
        <f t="shared" si="12"/>
        <v>645060.28555555129</v>
      </c>
      <c r="E313" s="538">
        <f t="shared" si="17"/>
        <v>161265.0713888889</v>
      </c>
      <c r="F313" s="495">
        <f t="shared" si="13"/>
        <v>483795.21416666242</v>
      </c>
      <c r="G313" s="543">
        <f t="shared" si="14"/>
        <v>224432.25382989037</v>
      </c>
      <c r="H313" s="544">
        <f t="shared" si="15"/>
        <v>224432.25382989037</v>
      </c>
      <c r="I313" s="541">
        <f t="shared" si="16"/>
        <v>0</v>
      </c>
      <c r="J313" s="541"/>
      <c r="K313" s="561"/>
      <c r="L313" s="545"/>
      <c r="M313" s="561"/>
      <c r="N313" s="545"/>
      <c r="O313" s="545"/>
    </row>
    <row r="314" spans="3:15">
      <c r="C314" s="537">
        <f>IF(D274="","-",+C313+1)</f>
        <v>2047</v>
      </c>
      <c r="D314" s="495">
        <f t="shared" si="12"/>
        <v>483795.21416666242</v>
      </c>
      <c r="E314" s="538">
        <f t="shared" si="17"/>
        <v>161265.0713888889</v>
      </c>
      <c r="F314" s="495">
        <f t="shared" si="13"/>
        <v>322530.14277777355</v>
      </c>
      <c r="G314" s="543">
        <f t="shared" si="14"/>
        <v>206384.48741817553</v>
      </c>
      <c r="H314" s="544">
        <f t="shared" si="15"/>
        <v>206384.48741817553</v>
      </c>
      <c r="I314" s="541">
        <f t="shared" si="16"/>
        <v>0</v>
      </c>
      <c r="J314" s="541"/>
      <c r="K314" s="561"/>
      <c r="L314" s="545"/>
      <c r="M314" s="561"/>
      <c r="N314" s="545"/>
      <c r="O314" s="545"/>
    </row>
    <row r="315" spans="3:15">
      <c r="C315" s="537">
        <f>IF(D274="","-",+C314+1)</f>
        <v>2048</v>
      </c>
      <c r="D315" s="495">
        <f t="shared" si="12"/>
        <v>322530.14277777355</v>
      </c>
      <c r="E315" s="538">
        <f t="shared" si="17"/>
        <v>161265.0713888889</v>
      </c>
      <c r="F315" s="495">
        <f t="shared" si="13"/>
        <v>161265.07138888465</v>
      </c>
      <c r="G315" s="543">
        <f t="shared" si="14"/>
        <v>188336.72100646069</v>
      </c>
      <c r="H315" s="544">
        <f t="shared" si="15"/>
        <v>188336.72100646069</v>
      </c>
      <c r="I315" s="541">
        <f t="shared" si="16"/>
        <v>0</v>
      </c>
      <c r="J315" s="541"/>
      <c r="K315" s="561"/>
      <c r="L315" s="545"/>
      <c r="M315" s="561"/>
      <c r="N315" s="545"/>
      <c r="O315" s="545"/>
    </row>
    <row r="316" spans="3:15">
      <c r="C316" s="537">
        <f>IF(D274="","-",+C315+1)</f>
        <v>2049</v>
      </c>
      <c r="D316" s="495">
        <f t="shared" si="12"/>
        <v>161265.07138888465</v>
      </c>
      <c r="E316" s="538">
        <f t="shared" si="17"/>
        <v>161265.07138888465</v>
      </c>
      <c r="F316" s="495">
        <f t="shared" si="13"/>
        <v>0</v>
      </c>
      <c r="G316" s="543">
        <f t="shared" si="14"/>
        <v>170288.95459474184</v>
      </c>
      <c r="H316" s="544">
        <f t="shared" si="15"/>
        <v>170288.95459474184</v>
      </c>
      <c r="I316" s="541">
        <f t="shared" si="16"/>
        <v>0</v>
      </c>
      <c r="J316" s="541"/>
      <c r="K316" s="561"/>
      <c r="L316" s="545"/>
      <c r="M316" s="561"/>
      <c r="N316" s="545"/>
      <c r="O316" s="545"/>
    </row>
    <row r="317" spans="3:15">
      <c r="C317" s="537">
        <f>IF(D274="","-",+C316+1)</f>
        <v>2050</v>
      </c>
      <c r="D317" s="495">
        <f t="shared" si="12"/>
        <v>0</v>
      </c>
      <c r="E317" s="538">
        <f t="shared" si="17"/>
        <v>0</v>
      </c>
      <c r="F317" s="495">
        <f t="shared" si="13"/>
        <v>0</v>
      </c>
      <c r="G317" s="543">
        <f t="shared" si="14"/>
        <v>0</v>
      </c>
      <c r="H317" s="544">
        <f t="shared" si="15"/>
        <v>0</v>
      </c>
      <c r="I317" s="541">
        <f t="shared" si="16"/>
        <v>0</v>
      </c>
      <c r="J317" s="541"/>
      <c r="K317" s="561"/>
      <c r="L317" s="545"/>
      <c r="M317" s="561"/>
      <c r="N317" s="545"/>
      <c r="O317" s="545"/>
    </row>
    <row r="318" spans="3:15">
      <c r="C318" s="537">
        <f>IF(D274="","-",+C317+1)</f>
        <v>2051</v>
      </c>
      <c r="D318" s="495">
        <f t="shared" si="12"/>
        <v>0</v>
      </c>
      <c r="E318" s="538">
        <f t="shared" si="17"/>
        <v>0</v>
      </c>
      <c r="F318" s="495">
        <f t="shared" si="13"/>
        <v>0</v>
      </c>
      <c r="G318" s="543">
        <f t="shared" si="14"/>
        <v>0</v>
      </c>
      <c r="H318" s="544">
        <f t="shared" si="15"/>
        <v>0</v>
      </c>
      <c r="I318" s="541">
        <f t="shared" si="16"/>
        <v>0</v>
      </c>
      <c r="J318" s="541"/>
      <c r="K318" s="561"/>
      <c r="L318" s="545"/>
      <c r="M318" s="561"/>
      <c r="N318" s="545"/>
      <c r="O318" s="545"/>
    </row>
    <row r="319" spans="3:15">
      <c r="C319" s="537">
        <f>IF(D274="","-",+C318+1)</f>
        <v>2052</v>
      </c>
      <c r="D319" s="495">
        <f t="shared" si="12"/>
        <v>0</v>
      </c>
      <c r="E319" s="538">
        <f t="shared" si="17"/>
        <v>0</v>
      </c>
      <c r="F319" s="495">
        <f t="shared" si="13"/>
        <v>0</v>
      </c>
      <c r="G319" s="543">
        <f t="shared" si="14"/>
        <v>0</v>
      </c>
      <c r="H319" s="544">
        <f t="shared" si="15"/>
        <v>0</v>
      </c>
      <c r="I319" s="541">
        <f t="shared" si="16"/>
        <v>0</v>
      </c>
      <c r="J319" s="541"/>
      <c r="K319" s="561"/>
      <c r="L319" s="545"/>
      <c r="M319" s="561"/>
      <c r="N319" s="545"/>
      <c r="O319" s="545"/>
    </row>
    <row r="320" spans="3:15">
      <c r="C320" s="537">
        <f>IF(D274="","-",+C319+1)</f>
        <v>2053</v>
      </c>
      <c r="D320" s="495">
        <f t="shared" si="12"/>
        <v>0</v>
      </c>
      <c r="E320" s="538">
        <f t="shared" si="17"/>
        <v>0</v>
      </c>
      <c r="F320" s="495">
        <f t="shared" si="13"/>
        <v>0</v>
      </c>
      <c r="G320" s="543">
        <f t="shared" si="14"/>
        <v>0</v>
      </c>
      <c r="H320" s="544">
        <f t="shared" si="15"/>
        <v>0</v>
      </c>
      <c r="I320" s="541">
        <f t="shared" si="16"/>
        <v>0</v>
      </c>
      <c r="J320" s="541"/>
      <c r="K320" s="561"/>
      <c r="L320" s="545"/>
      <c r="M320" s="561"/>
      <c r="N320" s="545"/>
      <c r="O320" s="545"/>
    </row>
    <row r="321" spans="3:15">
      <c r="C321" s="537">
        <f>IF(D274="","-",+C320+1)</f>
        <v>2054</v>
      </c>
      <c r="D321" s="495">
        <f t="shared" si="12"/>
        <v>0</v>
      </c>
      <c r="E321" s="538">
        <f t="shared" si="17"/>
        <v>0</v>
      </c>
      <c r="F321" s="495">
        <f t="shared" si="13"/>
        <v>0</v>
      </c>
      <c r="G321" s="543">
        <f t="shared" si="14"/>
        <v>0</v>
      </c>
      <c r="H321" s="544">
        <f t="shared" si="15"/>
        <v>0</v>
      </c>
      <c r="I321" s="541">
        <f t="shared" si="16"/>
        <v>0</v>
      </c>
      <c r="J321" s="541"/>
      <c r="K321" s="561"/>
      <c r="L321" s="545"/>
      <c r="M321" s="561"/>
      <c r="N321" s="545"/>
      <c r="O321" s="545"/>
    </row>
    <row r="322" spans="3:15">
      <c r="C322" s="537">
        <f>IF(D274="","-",+C321+1)</f>
        <v>2055</v>
      </c>
      <c r="D322" s="495">
        <f t="shared" si="12"/>
        <v>0</v>
      </c>
      <c r="E322" s="538">
        <f t="shared" si="17"/>
        <v>0</v>
      </c>
      <c r="F322" s="495">
        <f t="shared" si="13"/>
        <v>0</v>
      </c>
      <c r="G322" s="543">
        <f t="shared" si="14"/>
        <v>0</v>
      </c>
      <c r="H322" s="544">
        <f t="shared" si="15"/>
        <v>0</v>
      </c>
      <c r="I322" s="541">
        <f t="shared" si="16"/>
        <v>0</v>
      </c>
      <c r="J322" s="541"/>
      <c r="K322" s="561"/>
      <c r="L322" s="545"/>
      <c r="M322" s="561"/>
      <c r="N322" s="545"/>
      <c r="O322" s="545"/>
    </row>
    <row r="323" spans="3:15">
      <c r="C323" s="537">
        <f>IF(D274="","-",+C322+1)</f>
        <v>2056</v>
      </c>
      <c r="D323" s="495">
        <f t="shared" si="12"/>
        <v>0</v>
      </c>
      <c r="E323" s="538">
        <f t="shared" si="17"/>
        <v>0</v>
      </c>
      <c r="F323" s="495">
        <f t="shared" si="13"/>
        <v>0</v>
      </c>
      <c r="G323" s="543">
        <f t="shared" si="14"/>
        <v>0</v>
      </c>
      <c r="H323" s="544">
        <f t="shared" si="15"/>
        <v>0</v>
      </c>
      <c r="I323" s="541">
        <f t="shared" si="16"/>
        <v>0</v>
      </c>
      <c r="J323" s="541"/>
      <c r="K323" s="561"/>
      <c r="L323" s="545"/>
      <c r="M323" s="561"/>
      <c r="N323" s="545"/>
      <c r="O323" s="545"/>
    </row>
    <row r="324" spans="3:15">
      <c r="C324" s="537">
        <f>IF(D274="","-",+C323+1)</f>
        <v>2057</v>
      </c>
      <c r="D324" s="495">
        <f t="shared" si="12"/>
        <v>0</v>
      </c>
      <c r="E324" s="538">
        <f t="shared" si="17"/>
        <v>0</v>
      </c>
      <c r="F324" s="495">
        <f t="shared" si="13"/>
        <v>0</v>
      </c>
      <c r="G324" s="543">
        <f t="shared" si="14"/>
        <v>0</v>
      </c>
      <c r="H324" s="544">
        <f t="shared" si="15"/>
        <v>0</v>
      </c>
      <c r="I324" s="541">
        <f t="shared" si="16"/>
        <v>0</v>
      </c>
      <c r="J324" s="541"/>
      <c r="K324" s="561"/>
      <c r="L324" s="545"/>
      <c r="M324" s="561"/>
      <c r="N324" s="545"/>
      <c r="O324" s="545"/>
    </row>
    <row r="325" spans="3:15">
      <c r="C325" s="537">
        <f>IF(D274="","-",+C324+1)</f>
        <v>2058</v>
      </c>
      <c r="D325" s="495">
        <f t="shared" si="12"/>
        <v>0</v>
      </c>
      <c r="E325" s="538">
        <f t="shared" si="17"/>
        <v>0</v>
      </c>
      <c r="F325" s="495">
        <f t="shared" si="13"/>
        <v>0</v>
      </c>
      <c r="G325" s="543">
        <f t="shared" si="14"/>
        <v>0</v>
      </c>
      <c r="H325" s="544">
        <f t="shared" si="15"/>
        <v>0</v>
      </c>
      <c r="I325" s="541">
        <f t="shared" si="16"/>
        <v>0</v>
      </c>
      <c r="J325" s="541"/>
      <c r="K325" s="561"/>
      <c r="L325" s="545"/>
      <c r="M325" s="561"/>
      <c r="N325" s="545"/>
      <c r="O325" s="545"/>
    </row>
    <row r="326" spans="3:15">
      <c r="C326" s="537">
        <f>IF(D274="","-",+C325+1)</f>
        <v>2059</v>
      </c>
      <c r="D326" s="495">
        <f t="shared" si="12"/>
        <v>0</v>
      </c>
      <c r="E326" s="538">
        <f t="shared" si="17"/>
        <v>0</v>
      </c>
      <c r="F326" s="495">
        <f t="shared" si="13"/>
        <v>0</v>
      </c>
      <c r="G326" s="543">
        <f t="shared" si="14"/>
        <v>0</v>
      </c>
      <c r="H326" s="544">
        <f t="shared" si="15"/>
        <v>0</v>
      </c>
      <c r="I326" s="541">
        <f t="shared" si="16"/>
        <v>0</v>
      </c>
      <c r="J326" s="541"/>
      <c r="K326" s="561"/>
      <c r="L326" s="545"/>
      <c r="M326" s="561"/>
      <c r="N326" s="545"/>
      <c r="O326" s="545"/>
    </row>
    <row r="327" spans="3:15">
      <c r="C327" s="537">
        <f>IF(D274="","-",+C326+1)</f>
        <v>2060</v>
      </c>
      <c r="D327" s="495">
        <f t="shared" si="12"/>
        <v>0</v>
      </c>
      <c r="E327" s="538">
        <f t="shared" si="17"/>
        <v>0</v>
      </c>
      <c r="F327" s="495">
        <f t="shared" si="13"/>
        <v>0</v>
      </c>
      <c r="G327" s="543">
        <f t="shared" si="14"/>
        <v>0</v>
      </c>
      <c r="H327" s="544">
        <f t="shared" si="15"/>
        <v>0</v>
      </c>
      <c r="I327" s="541">
        <f t="shared" si="16"/>
        <v>0</v>
      </c>
      <c r="J327" s="541"/>
      <c r="K327" s="561"/>
      <c r="L327" s="545"/>
      <c r="M327" s="561"/>
      <c r="N327" s="545"/>
      <c r="O327" s="545"/>
    </row>
    <row r="328" spans="3:15">
      <c r="C328" s="537">
        <f>IF(D274="","-",+C327+1)</f>
        <v>2061</v>
      </c>
      <c r="D328" s="495">
        <f t="shared" si="12"/>
        <v>0</v>
      </c>
      <c r="E328" s="538">
        <f t="shared" si="17"/>
        <v>0</v>
      </c>
      <c r="F328" s="495">
        <f t="shared" si="13"/>
        <v>0</v>
      </c>
      <c r="G328" s="543">
        <f t="shared" si="14"/>
        <v>0</v>
      </c>
      <c r="H328" s="544">
        <f t="shared" si="15"/>
        <v>0</v>
      </c>
      <c r="I328" s="541">
        <f t="shared" si="16"/>
        <v>0</v>
      </c>
      <c r="J328" s="541"/>
      <c r="K328" s="561"/>
      <c r="L328" s="545"/>
      <c r="M328" s="561"/>
      <c r="N328" s="545"/>
      <c r="O328" s="545"/>
    </row>
    <row r="329" spans="3:15">
      <c r="C329" s="537">
        <f>IF(D274="","-",+C328+1)</f>
        <v>2062</v>
      </c>
      <c r="D329" s="495">
        <f t="shared" si="12"/>
        <v>0</v>
      </c>
      <c r="E329" s="538">
        <f t="shared" si="17"/>
        <v>0</v>
      </c>
      <c r="F329" s="495">
        <f t="shared" si="13"/>
        <v>0</v>
      </c>
      <c r="G329" s="543">
        <f t="shared" si="14"/>
        <v>0</v>
      </c>
      <c r="H329" s="544">
        <f t="shared" si="15"/>
        <v>0</v>
      </c>
      <c r="I329" s="541">
        <f t="shared" si="16"/>
        <v>0</v>
      </c>
      <c r="J329" s="541"/>
      <c r="K329" s="561"/>
      <c r="L329" s="545"/>
      <c r="M329" s="561"/>
      <c r="N329" s="545"/>
      <c r="O329" s="545"/>
    </row>
    <row r="330" spans="3:15">
      <c r="C330" s="537">
        <f>IF(D274="","-",+C329+1)</f>
        <v>2063</v>
      </c>
      <c r="D330" s="495">
        <f t="shared" si="12"/>
        <v>0</v>
      </c>
      <c r="E330" s="538">
        <f t="shared" si="17"/>
        <v>0</v>
      </c>
      <c r="F330" s="495">
        <f t="shared" si="13"/>
        <v>0</v>
      </c>
      <c r="G330" s="543">
        <f t="shared" si="14"/>
        <v>0</v>
      </c>
      <c r="H330" s="544">
        <f t="shared" si="15"/>
        <v>0</v>
      </c>
      <c r="I330" s="541">
        <f t="shared" si="16"/>
        <v>0</v>
      </c>
      <c r="J330" s="541"/>
      <c r="K330" s="561"/>
      <c r="L330" s="545"/>
      <c r="M330" s="561"/>
      <c r="N330" s="545"/>
      <c r="O330" s="545"/>
    </row>
    <row r="331" spans="3:15">
      <c r="C331" s="537">
        <f>IF(D274="","-",+C330+1)</f>
        <v>2064</v>
      </c>
      <c r="D331" s="495">
        <f t="shared" si="12"/>
        <v>0</v>
      </c>
      <c r="E331" s="538">
        <f t="shared" si="17"/>
        <v>0</v>
      </c>
      <c r="F331" s="495">
        <f t="shared" si="13"/>
        <v>0</v>
      </c>
      <c r="G331" s="543">
        <f t="shared" si="14"/>
        <v>0</v>
      </c>
      <c r="H331" s="544">
        <f t="shared" si="15"/>
        <v>0</v>
      </c>
      <c r="I331" s="541">
        <f t="shared" si="16"/>
        <v>0</v>
      </c>
      <c r="J331" s="541"/>
      <c r="K331" s="561"/>
      <c r="L331" s="545"/>
      <c r="M331" s="561"/>
      <c r="N331" s="545"/>
      <c r="O331" s="545"/>
    </row>
    <row r="332" spans="3:15">
      <c r="C332" s="537">
        <f>IF(D274="","-",+C331+1)</f>
        <v>2065</v>
      </c>
      <c r="D332" s="495">
        <f t="shared" si="12"/>
        <v>0</v>
      </c>
      <c r="E332" s="538">
        <f t="shared" si="17"/>
        <v>0</v>
      </c>
      <c r="F332" s="495">
        <f t="shared" si="13"/>
        <v>0</v>
      </c>
      <c r="G332" s="543">
        <f t="shared" si="14"/>
        <v>0</v>
      </c>
      <c r="H332" s="544">
        <f t="shared" si="15"/>
        <v>0</v>
      </c>
      <c r="I332" s="541">
        <f t="shared" si="16"/>
        <v>0</v>
      </c>
      <c r="J332" s="541"/>
      <c r="K332" s="561"/>
      <c r="L332" s="545"/>
      <c r="M332" s="561"/>
      <c r="N332" s="545"/>
      <c r="O332" s="545"/>
    </row>
    <row r="333" spans="3:15">
      <c r="C333" s="537">
        <f>IF(D274="","-",+C332+1)</f>
        <v>2066</v>
      </c>
      <c r="D333" s="495">
        <f t="shared" si="12"/>
        <v>0</v>
      </c>
      <c r="E333" s="538">
        <f t="shared" si="17"/>
        <v>0</v>
      </c>
      <c r="F333" s="495">
        <f t="shared" si="13"/>
        <v>0</v>
      </c>
      <c r="G333" s="543">
        <f t="shared" si="14"/>
        <v>0</v>
      </c>
      <c r="H333" s="544">
        <f t="shared" si="15"/>
        <v>0</v>
      </c>
      <c r="I333" s="541">
        <f t="shared" si="16"/>
        <v>0</v>
      </c>
      <c r="J333" s="541"/>
      <c r="K333" s="561"/>
      <c r="L333" s="545"/>
      <c r="M333" s="561"/>
      <c r="N333" s="545"/>
      <c r="O333" s="545"/>
    </row>
    <row r="334" spans="3:15">
      <c r="C334" s="537">
        <f>IF(D274="","-",+C333+1)</f>
        <v>2067</v>
      </c>
      <c r="D334" s="495">
        <f t="shared" si="12"/>
        <v>0</v>
      </c>
      <c r="E334" s="538">
        <f t="shared" si="17"/>
        <v>0</v>
      </c>
      <c r="F334" s="495">
        <f t="shared" si="13"/>
        <v>0</v>
      </c>
      <c r="G334" s="543">
        <f t="shared" si="14"/>
        <v>0</v>
      </c>
      <c r="H334" s="544">
        <f t="shared" si="15"/>
        <v>0</v>
      </c>
      <c r="I334" s="541">
        <f t="shared" si="16"/>
        <v>0</v>
      </c>
      <c r="J334" s="541"/>
      <c r="K334" s="561"/>
      <c r="L334" s="545"/>
      <c r="M334" s="561"/>
      <c r="N334" s="545"/>
      <c r="O334" s="545"/>
    </row>
    <row r="335" spans="3:15">
      <c r="C335" s="537">
        <f>IF(D274="","-",+C334+1)</f>
        <v>2068</v>
      </c>
      <c r="D335" s="495">
        <f t="shared" si="12"/>
        <v>0</v>
      </c>
      <c r="E335" s="538">
        <f t="shared" si="17"/>
        <v>0</v>
      </c>
      <c r="F335" s="495">
        <f t="shared" si="13"/>
        <v>0</v>
      </c>
      <c r="G335" s="543">
        <f t="shared" si="14"/>
        <v>0</v>
      </c>
      <c r="H335" s="544">
        <f t="shared" si="15"/>
        <v>0</v>
      </c>
      <c r="I335" s="541">
        <f t="shared" si="16"/>
        <v>0</v>
      </c>
      <c r="J335" s="541"/>
      <c r="K335" s="561"/>
      <c r="L335" s="545"/>
      <c r="M335" s="561"/>
      <c r="N335" s="545"/>
      <c r="O335" s="545"/>
    </row>
    <row r="336" spans="3:15">
      <c r="C336" s="537">
        <f>IF(D274="","-",+C335+1)</f>
        <v>2069</v>
      </c>
      <c r="D336" s="495">
        <f t="shared" si="12"/>
        <v>0</v>
      </c>
      <c r="E336" s="538">
        <f t="shared" si="17"/>
        <v>0</v>
      </c>
      <c r="F336" s="495">
        <f t="shared" si="13"/>
        <v>0</v>
      </c>
      <c r="G336" s="543">
        <f t="shared" si="14"/>
        <v>0</v>
      </c>
      <c r="H336" s="544">
        <f t="shared" si="15"/>
        <v>0</v>
      </c>
      <c r="I336" s="541">
        <f t="shared" si="16"/>
        <v>0</v>
      </c>
      <c r="J336" s="541"/>
      <c r="K336" s="561"/>
      <c r="L336" s="545"/>
      <c r="M336" s="561"/>
      <c r="N336" s="545"/>
      <c r="O336" s="545"/>
    </row>
    <row r="337" spans="1:16">
      <c r="C337" s="537">
        <f>IF(D274="","-",+C336+1)</f>
        <v>2070</v>
      </c>
      <c r="D337" s="495">
        <f t="shared" si="12"/>
        <v>0</v>
      </c>
      <c r="E337" s="538">
        <f t="shared" si="17"/>
        <v>0</v>
      </c>
      <c r="F337" s="495">
        <f t="shared" si="13"/>
        <v>0</v>
      </c>
      <c r="G337" s="543">
        <f t="shared" si="14"/>
        <v>0</v>
      </c>
      <c r="H337" s="544">
        <f t="shared" si="15"/>
        <v>0</v>
      </c>
      <c r="I337" s="541">
        <f t="shared" si="16"/>
        <v>0</v>
      </c>
      <c r="J337" s="541"/>
      <c r="K337" s="561"/>
      <c r="L337" s="545"/>
      <c r="M337" s="561"/>
      <c r="N337" s="545"/>
      <c r="O337" s="545"/>
    </row>
    <row r="338" spans="1:16">
      <c r="C338" s="537">
        <f>IF(D274="","-",+C337+1)</f>
        <v>2071</v>
      </c>
      <c r="D338" s="495">
        <f t="shared" si="12"/>
        <v>0</v>
      </c>
      <c r="E338" s="538">
        <f t="shared" si="17"/>
        <v>0</v>
      </c>
      <c r="F338" s="495">
        <f t="shared" si="13"/>
        <v>0</v>
      </c>
      <c r="G338" s="543">
        <f t="shared" si="14"/>
        <v>0</v>
      </c>
      <c r="H338" s="544">
        <f t="shared" si="15"/>
        <v>0</v>
      </c>
      <c r="I338" s="541">
        <f t="shared" si="16"/>
        <v>0</v>
      </c>
      <c r="J338" s="541"/>
      <c r="K338" s="561"/>
      <c r="L338" s="545"/>
      <c r="M338" s="561"/>
      <c r="N338" s="545"/>
      <c r="O338" s="545"/>
    </row>
    <row r="339" spans="1:16" ht="13.5" thickBot="1">
      <c r="C339" s="547">
        <f>IF(D274="","-",+C338+1)</f>
        <v>2072</v>
      </c>
      <c r="D339" s="548">
        <f t="shared" si="12"/>
        <v>0</v>
      </c>
      <c r="E339" s="549">
        <f t="shared" si="17"/>
        <v>0</v>
      </c>
      <c r="F339" s="548">
        <f t="shared" si="13"/>
        <v>0</v>
      </c>
      <c r="G339" s="550">
        <f t="shared" si="14"/>
        <v>0</v>
      </c>
      <c r="H339" s="550">
        <f t="shared" si="15"/>
        <v>0</v>
      </c>
      <c r="I339" s="551">
        <f t="shared" si="16"/>
        <v>0</v>
      </c>
      <c r="J339" s="541"/>
      <c r="K339" s="562"/>
      <c r="L339" s="552"/>
      <c r="M339" s="562"/>
      <c r="N339" s="552"/>
      <c r="O339" s="552"/>
    </row>
    <row r="340" spans="1:16">
      <c r="C340" s="495" t="s">
        <v>91</v>
      </c>
      <c r="D340" s="492"/>
      <c r="E340" s="492">
        <f>SUM(E280:E339)</f>
        <v>5805542.5700000003</v>
      </c>
      <c r="F340" s="492"/>
      <c r="G340" s="492">
        <f>SUM(G280:G339)</f>
        <v>18150214.795612942</v>
      </c>
      <c r="H340" s="492">
        <f>SUM(H280:H339)</f>
        <v>18150214.795612942</v>
      </c>
      <c r="I340" s="492">
        <f>SUM(I280:I339)</f>
        <v>0</v>
      </c>
      <c r="J340" s="492"/>
      <c r="K340" s="492"/>
      <c r="L340" s="492"/>
      <c r="M340" s="492"/>
      <c r="N340" s="492"/>
      <c r="O340" s="3"/>
    </row>
    <row r="341" spans="1:16">
      <c r="D341" s="47"/>
      <c r="E341" s="3"/>
      <c r="F341" s="3"/>
      <c r="G341" s="3"/>
      <c r="H341" s="479"/>
      <c r="I341" s="479"/>
      <c r="J341" s="492"/>
      <c r="K341" s="479"/>
      <c r="L341" s="479"/>
      <c r="M341" s="479"/>
      <c r="N341" s="479"/>
      <c r="O341" s="3"/>
    </row>
    <row r="342" spans="1:16">
      <c r="C342" s="3" t="s">
        <v>13</v>
      </c>
      <c r="D342" s="47"/>
      <c r="E342" s="3"/>
      <c r="F342" s="3"/>
      <c r="G342" s="3"/>
      <c r="H342" s="479"/>
      <c r="I342" s="479"/>
      <c r="J342" s="492"/>
      <c r="K342" s="479"/>
      <c r="L342" s="479"/>
      <c r="M342" s="479"/>
      <c r="N342" s="479"/>
      <c r="O342" s="3"/>
    </row>
    <row r="343" spans="1:16">
      <c r="C343" s="3"/>
      <c r="D343" s="47"/>
      <c r="E343" s="3"/>
      <c r="F343" s="3"/>
      <c r="G343" s="3"/>
      <c r="H343" s="479"/>
      <c r="I343" s="479"/>
      <c r="J343" s="492"/>
      <c r="K343" s="479"/>
      <c r="L343" s="479"/>
      <c r="M343" s="479"/>
      <c r="N343" s="479"/>
      <c r="O343" s="3"/>
    </row>
    <row r="344" spans="1:16">
      <c r="C344" s="507" t="s">
        <v>14</v>
      </c>
      <c r="D344" s="495"/>
      <c r="E344" s="495"/>
      <c r="F344" s="495"/>
      <c r="G344" s="492"/>
      <c r="H344" s="492"/>
      <c r="I344" s="553"/>
      <c r="J344" s="553"/>
      <c r="K344" s="553"/>
      <c r="L344" s="553"/>
      <c r="M344" s="553"/>
      <c r="N344" s="553"/>
      <c r="O344" s="3"/>
    </row>
    <row r="345" spans="1:16">
      <c r="C345" s="496" t="s">
        <v>271</v>
      </c>
      <c r="D345" s="495"/>
      <c r="E345" s="495"/>
      <c r="F345" s="495"/>
      <c r="G345" s="492"/>
      <c r="H345" s="492"/>
      <c r="I345" s="553"/>
      <c r="J345" s="553"/>
      <c r="K345" s="553"/>
      <c r="L345" s="553"/>
      <c r="M345" s="553"/>
      <c r="N345" s="553"/>
      <c r="O345" s="3"/>
    </row>
    <row r="346" spans="1:16">
      <c r="C346" s="496" t="s">
        <v>92</v>
      </c>
      <c r="D346" s="495"/>
      <c r="E346" s="495"/>
      <c r="F346" s="495"/>
      <c r="G346" s="492"/>
      <c r="H346" s="492"/>
      <c r="I346" s="553"/>
      <c r="J346" s="553"/>
      <c r="K346" s="553"/>
      <c r="L346" s="553"/>
      <c r="M346" s="553"/>
      <c r="N346" s="553"/>
      <c r="O346" s="3"/>
    </row>
    <row r="347" spans="1:16">
      <c r="C347" s="496"/>
      <c r="D347" s="495"/>
      <c r="E347" s="495"/>
      <c r="F347" s="495"/>
      <c r="G347" s="492"/>
      <c r="H347" s="492"/>
      <c r="I347" s="553"/>
      <c r="J347" s="553"/>
      <c r="K347" s="553"/>
      <c r="L347" s="553"/>
      <c r="M347" s="553"/>
      <c r="N347" s="553"/>
      <c r="O347" s="3"/>
    </row>
    <row r="348" spans="1:16">
      <c r="C348" s="1185" t="s">
        <v>6</v>
      </c>
      <c r="D348" s="1185"/>
      <c r="E348" s="1185"/>
      <c r="F348" s="1185"/>
      <c r="G348" s="1185"/>
      <c r="H348" s="1185"/>
      <c r="I348" s="1185"/>
      <c r="J348" s="1185"/>
      <c r="K348" s="1185"/>
      <c r="L348" s="1185"/>
      <c r="M348" s="1185"/>
      <c r="N348" s="1185"/>
      <c r="O348" s="1185"/>
    </row>
    <row r="349" spans="1:16">
      <c r="C349" s="1185"/>
      <c r="D349" s="1185"/>
      <c r="E349" s="1185"/>
      <c r="F349" s="1185"/>
      <c r="G349" s="1185"/>
      <c r="H349" s="1185"/>
      <c r="I349" s="1185"/>
      <c r="J349" s="1185"/>
      <c r="K349" s="1185"/>
      <c r="L349" s="1185"/>
      <c r="M349" s="1185"/>
      <c r="N349" s="1185"/>
      <c r="O349" s="1185"/>
    </row>
    <row r="350" spans="1:16" ht="20.25">
      <c r="A350" s="436" t="str">
        <f>""&amp;A274&amp;" Worksheet J -  ATRR PROJECTED Calculation for PJM Projects Charged to Benefiting Zones"</f>
        <v xml:space="preserve"> Worksheet J -  ATRR PROJECTED Calculation for PJM Projects Charged to Benefiting Zones</v>
      </c>
      <c r="B350" s="3"/>
      <c r="C350" s="3"/>
      <c r="D350" s="47"/>
      <c r="E350" s="3"/>
      <c r="F350" s="478"/>
      <c r="G350" s="3"/>
      <c r="H350" s="479"/>
      <c r="K350" s="387"/>
      <c r="L350" s="387"/>
      <c r="M350" s="387"/>
      <c r="N350" s="387" t="str">
        <f>"Page "&amp;SUM(P$8:P350)&amp;" of "</f>
        <v xml:space="preserve">Page 5 of </v>
      </c>
      <c r="O350" s="437">
        <f>COUNT(P$8:P$56562)</f>
        <v>12</v>
      </c>
      <c r="P350">
        <v>1</v>
      </c>
    </row>
    <row r="351" spans="1:16">
      <c r="B351" s="3"/>
      <c r="C351" s="3"/>
      <c r="D351" s="47"/>
      <c r="E351" s="3"/>
      <c r="F351" s="3"/>
      <c r="G351" s="3"/>
      <c r="H351" s="479"/>
      <c r="I351" s="3"/>
      <c r="J351" s="3"/>
      <c r="K351" s="3"/>
      <c r="L351" s="3"/>
      <c r="M351" s="3"/>
      <c r="N351" s="3"/>
      <c r="O351" s="3"/>
    </row>
    <row r="352" spans="1:16" ht="18">
      <c r="B352" s="438" t="s">
        <v>472</v>
      </c>
      <c r="C352" s="119" t="s">
        <v>93</v>
      </c>
      <c r="D352" s="47"/>
      <c r="E352" s="3"/>
      <c r="F352" s="3"/>
      <c r="G352" s="3"/>
      <c r="H352" s="479"/>
      <c r="I352" s="479"/>
      <c r="J352" s="492"/>
      <c r="K352" s="479"/>
      <c r="L352" s="479"/>
      <c r="M352" s="479"/>
      <c r="N352" s="479"/>
      <c r="O352" s="3"/>
    </row>
    <row r="353" spans="2:15" ht="18.75">
      <c r="B353" s="438"/>
      <c r="C353" s="6"/>
      <c r="D353" s="47"/>
      <c r="E353" s="3"/>
      <c r="F353" s="3"/>
      <c r="G353" s="3"/>
      <c r="H353" s="479"/>
      <c r="I353" s="479"/>
      <c r="J353" s="492"/>
      <c r="K353" s="479"/>
      <c r="L353" s="479"/>
      <c r="M353" s="479"/>
      <c r="N353" s="479"/>
      <c r="O353" s="3"/>
    </row>
    <row r="354" spans="2:15" ht="18.75">
      <c r="B354" s="438"/>
      <c r="C354" s="6" t="s">
        <v>94</v>
      </c>
      <c r="D354" s="47"/>
      <c r="E354" s="3"/>
      <c r="F354" s="3"/>
      <c r="G354" s="3"/>
      <c r="H354" s="479"/>
      <c r="I354" s="479"/>
      <c r="J354" s="492"/>
      <c r="K354" s="479"/>
      <c r="L354" s="479"/>
      <c r="M354" s="479"/>
      <c r="N354" s="479"/>
      <c r="O354" s="3"/>
    </row>
    <row r="355" spans="2:15" ht="15.75" thickBot="1">
      <c r="C355" s="128"/>
      <c r="D355" s="47"/>
      <c r="E355" s="3"/>
      <c r="F355" s="3"/>
      <c r="G355" s="3"/>
      <c r="H355" s="479"/>
      <c r="I355" s="479"/>
      <c r="J355" s="492"/>
      <c r="K355" s="479"/>
      <c r="L355" s="479"/>
      <c r="M355" s="479"/>
      <c r="N355" s="479"/>
      <c r="O355" s="3"/>
    </row>
    <row r="356" spans="2:15" ht="15.75">
      <c r="C356" s="440" t="s">
        <v>95</v>
      </c>
      <c r="D356" s="47"/>
      <c r="E356" s="3"/>
      <c r="F356" s="3"/>
      <c r="G356" s="555"/>
      <c r="H356" s="3" t="s">
        <v>74</v>
      </c>
      <c r="I356" s="3"/>
      <c r="J356" s="3"/>
      <c r="K356" s="498" t="s">
        <v>99</v>
      </c>
      <c r="L356" s="499"/>
      <c r="M356" s="500"/>
      <c r="N356" s="501">
        <f>IF(I362=0,0,VLOOKUP(I362,C369:O428,5))</f>
        <v>6264728.4890559558</v>
      </c>
      <c r="O356" s="3"/>
    </row>
    <row r="357" spans="2:15" ht="15.75">
      <c r="C357" s="440"/>
      <c r="D357" s="47"/>
      <c r="E357" s="3"/>
      <c r="F357" s="3"/>
      <c r="G357" s="3"/>
      <c r="H357" s="502"/>
      <c r="I357" s="502"/>
      <c r="J357" s="503"/>
      <c r="K357" s="504" t="s">
        <v>100</v>
      </c>
      <c r="L357" s="505"/>
      <c r="M357" s="3"/>
      <c r="N357" s="506">
        <f>IF(I362=0,0,VLOOKUP(I362,C369:O428,6))</f>
        <v>6264728.4890559558</v>
      </c>
      <c r="O357" s="3"/>
    </row>
    <row r="358" spans="2:15" ht="13.5" thickBot="1">
      <c r="C358" s="507" t="s">
        <v>96</v>
      </c>
      <c r="D358" s="1196" t="s">
        <v>814</v>
      </c>
      <c r="E358" s="1196"/>
      <c r="F358" s="1196"/>
      <c r="G358" s="1196"/>
      <c r="H358" s="1196"/>
      <c r="I358" s="1196"/>
      <c r="J358" s="492"/>
      <c r="K358" s="508" t="s">
        <v>238</v>
      </c>
      <c r="L358" s="509"/>
      <c r="M358" s="509"/>
      <c r="N358" s="510">
        <f>+N357-N356</f>
        <v>0</v>
      </c>
      <c r="O358" s="3"/>
    </row>
    <row r="359" spans="2:15">
      <c r="C359" s="511"/>
      <c r="D359" s="1196"/>
      <c r="E359" s="1196"/>
      <c r="F359" s="1196"/>
      <c r="G359" s="1196"/>
      <c r="H359" s="1196"/>
      <c r="I359" s="1196"/>
      <c r="J359" s="492"/>
      <c r="K359" s="479"/>
      <c r="L359" s="479"/>
      <c r="M359" s="479"/>
      <c r="N359" s="479"/>
      <c r="O359" s="3"/>
    </row>
    <row r="360" spans="2:15" ht="13.5" thickBot="1">
      <c r="C360" s="511"/>
      <c r="D360" s="3"/>
      <c r="E360" s="513"/>
      <c r="F360" s="513"/>
      <c r="G360" s="513"/>
      <c r="H360" s="513"/>
      <c r="I360" s="513"/>
      <c r="J360" s="513"/>
      <c r="K360" s="513"/>
      <c r="L360" s="513"/>
      <c r="M360" s="513"/>
      <c r="N360" s="513"/>
      <c r="O360" s="3"/>
    </row>
    <row r="361" spans="2:15" ht="13.5" thickBot="1">
      <c r="C361" s="514" t="s">
        <v>97</v>
      </c>
      <c r="D361" s="515"/>
      <c r="E361" s="515"/>
      <c r="F361" s="515"/>
      <c r="G361" s="515"/>
      <c r="H361" s="515"/>
      <c r="I361" s="516"/>
      <c r="K361" s="3"/>
      <c r="L361" s="3"/>
      <c r="M361" s="3"/>
      <c r="N361" s="3"/>
      <c r="O361" s="3"/>
    </row>
    <row r="362" spans="2:15" ht="15">
      <c r="C362" s="517" t="s">
        <v>75</v>
      </c>
      <c r="D362" s="557">
        <v>60573765.780000001</v>
      </c>
      <c r="E362" s="3" t="s">
        <v>76</v>
      </c>
      <c r="G362" s="47"/>
      <c r="H362" s="47"/>
      <c r="I362" s="518">
        <f>$L$26</f>
        <v>2026</v>
      </c>
      <c r="J362" s="70"/>
      <c r="K362" s="1186" t="s">
        <v>247</v>
      </c>
      <c r="L362" s="1186"/>
      <c r="M362" s="1186"/>
      <c r="N362" s="1186"/>
      <c r="O362" s="1186"/>
    </row>
    <row r="363" spans="2:15">
      <c r="C363" s="517" t="s">
        <v>78</v>
      </c>
      <c r="D363" s="558">
        <v>2014</v>
      </c>
      <c r="E363" s="517" t="s">
        <v>79</v>
      </c>
      <c r="F363" s="47"/>
      <c r="H363"/>
      <c r="I363" s="559">
        <f>IF(G356="",0,$F$17)</f>
        <v>0</v>
      </c>
      <c r="J363" s="519"/>
      <c r="K363" s="492" t="s">
        <v>247</v>
      </c>
    </row>
    <row r="364" spans="2:15">
      <c r="C364" s="517" t="s">
        <v>80</v>
      </c>
      <c r="D364" s="557">
        <v>10</v>
      </c>
      <c r="E364" s="517" t="s">
        <v>81</v>
      </c>
      <c r="F364" s="47"/>
      <c r="H364"/>
      <c r="I364" s="520">
        <f>$G$70</f>
        <v>0.11191367266500543</v>
      </c>
      <c r="J364" s="478"/>
      <c r="K364" t="str">
        <f>"          INPUT PROJECTED ARR (WITH &amp; WITHOUT INCENTIVES) FROM EACH PRIOR YEAR"</f>
        <v xml:space="preserve">          INPUT PROJECTED ARR (WITH &amp; WITHOUT INCENTIVES) FROM EACH PRIOR YEAR</v>
      </c>
    </row>
    <row r="365" spans="2:15">
      <c r="C365" s="517" t="s">
        <v>82</v>
      </c>
      <c r="D365" s="521">
        <f>$G$79</f>
        <v>36</v>
      </c>
      <c r="E365" s="517" t="s">
        <v>83</v>
      </c>
      <c r="F365" s="47"/>
      <c r="H365"/>
      <c r="I365" s="520">
        <f>IF(G356="",I364,$G$69)</f>
        <v>0.11191367266500543</v>
      </c>
      <c r="J365" s="478"/>
      <c r="K365" t="s">
        <v>160</v>
      </c>
    </row>
    <row r="366" spans="2:15" ht="13.5" thickBot="1">
      <c r="C366" s="517" t="s">
        <v>84</v>
      </c>
      <c r="D366" s="556" t="s">
        <v>810</v>
      </c>
      <c r="E366" s="522" t="s">
        <v>85</v>
      </c>
      <c r="F366" s="523"/>
      <c r="G366" s="524"/>
      <c r="H366" s="524"/>
      <c r="I366" s="510">
        <f>IF(D362=0,0,D362/D365)</f>
        <v>1682604.605</v>
      </c>
      <c r="J366" s="492"/>
      <c r="K366" s="492" t="s">
        <v>166</v>
      </c>
      <c r="L366" s="492"/>
      <c r="M366" s="492"/>
      <c r="N366" s="492"/>
      <c r="O366" s="3"/>
    </row>
    <row r="367" spans="2:15" ht="51">
      <c r="B367" s="439"/>
      <c r="C367" s="525" t="s">
        <v>75</v>
      </c>
      <c r="D367" s="526" t="s">
        <v>86</v>
      </c>
      <c r="E367" s="527" t="s">
        <v>87</v>
      </c>
      <c r="F367" s="526" t="s">
        <v>88</v>
      </c>
      <c r="G367" s="527" t="s">
        <v>159</v>
      </c>
      <c r="H367" s="528" t="s">
        <v>159</v>
      </c>
      <c r="I367" s="525" t="s">
        <v>98</v>
      </c>
      <c r="J367" s="529"/>
      <c r="K367" s="527" t="s">
        <v>168</v>
      </c>
      <c r="L367" s="530"/>
      <c r="M367" s="527" t="s">
        <v>168</v>
      </c>
      <c r="N367" s="530"/>
      <c r="O367" s="530"/>
    </row>
    <row r="368" spans="2:15" ht="13.5" thickBot="1">
      <c r="C368" s="531" t="s">
        <v>475</v>
      </c>
      <c r="D368" s="532" t="s">
        <v>476</v>
      </c>
      <c r="E368" s="531" t="s">
        <v>369</v>
      </c>
      <c r="F368" s="532" t="s">
        <v>476</v>
      </c>
      <c r="G368" s="533" t="s">
        <v>101</v>
      </c>
      <c r="H368" s="534" t="s">
        <v>103</v>
      </c>
      <c r="I368" s="531" t="s">
        <v>15</v>
      </c>
      <c r="J368" s="535"/>
      <c r="K368" s="533" t="s">
        <v>90</v>
      </c>
      <c r="L368" s="536"/>
      <c r="M368" s="533" t="s">
        <v>103</v>
      </c>
      <c r="N368" s="536"/>
      <c r="O368" s="536"/>
    </row>
    <row r="369" spans="3:15">
      <c r="C369" s="537">
        <f>IF(D363= "","-",D363)</f>
        <v>2014</v>
      </c>
      <c r="D369" s="495">
        <f>+D362</f>
        <v>60573765.780000001</v>
      </c>
      <c r="E369" s="538">
        <f>+I366/12*(12-D364)</f>
        <v>280434.10083333333</v>
      </c>
      <c r="F369" s="495">
        <f>+D369-E369</f>
        <v>60293331.679166667</v>
      </c>
      <c r="G369" s="705">
        <f>+$I$96*((D369+F369)/2)+E369</f>
        <v>7043774.4913405776</v>
      </c>
      <c r="H369" s="706">
        <f>$I$97*((D369+F369)/2)+E369</f>
        <v>7043774.4913405776</v>
      </c>
      <c r="I369" s="541">
        <f>+H369-G369</f>
        <v>0</v>
      </c>
      <c r="J369" s="541"/>
      <c r="K369" s="560" t="s">
        <v>815</v>
      </c>
      <c r="L369" s="542"/>
      <c r="M369" s="560" t="s">
        <v>816</v>
      </c>
      <c r="N369" s="542"/>
      <c r="O369" s="542"/>
    </row>
    <row r="370" spans="3:15">
      <c r="C370" s="537">
        <f>IF(D363="","-",+C369+1)</f>
        <v>2015</v>
      </c>
      <c r="D370" s="495">
        <f t="shared" ref="D370:D428" si="18">F369</f>
        <v>60293331.679166667</v>
      </c>
      <c r="E370" s="538">
        <f>IF(D370&gt;$I$366,$I$366,D370)</f>
        <v>1682604.605</v>
      </c>
      <c r="F370" s="495">
        <f t="shared" ref="F370:F428" si="19">+D370-E370</f>
        <v>58610727.07416667</v>
      </c>
      <c r="G370" s="543">
        <f t="shared" ref="G370:G428" si="20">+$I$96*((D370+F370)/2)+E370</f>
        <v>8336099.5599305592</v>
      </c>
      <c r="H370" s="544">
        <f t="shared" ref="H370:H428" si="21">$I$97*((D370+F370)/2)+E370</f>
        <v>8336099.5599305592</v>
      </c>
      <c r="I370" s="541">
        <f t="shared" ref="I370:I428" si="22">+H370-G370</f>
        <v>0</v>
      </c>
      <c r="J370" s="541"/>
      <c r="K370" s="561">
        <v>1745562</v>
      </c>
      <c r="L370" s="545"/>
      <c r="M370" s="561">
        <v>1745562</v>
      </c>
      <c r="N370" s="545"/>
      <c r="O370" s="545"/>
    </row>
    <row r="371" spans="3:15">
      <c r="C371" s="537">
        <f>IF(D363="","-",+C370+1)</f>
        <v>2016</v>
      </c>
      <c r="D371" s="495">
        <f t="shared" si="18"/>
        <v>58610727.07416667</v>
      </c>
      <c r="E371" s="538">
        <f t="shared" ref="E371:E428" si="23">IF(D371&gt;$I$366,$I$366,D371)</f>
        <v>1682604.605</v>
      </c>
      <c r="F371" s="495">
        <f t="shared" si="19"/>
        <v>56928122.469166674</v>
      </c>
      <c r="G371" s="543">
        <f t="shared" si="20"/>
        <v>8147793.0989419613</v>
      </c>
      <c r="H371" s="544">
        <f t="shared" si="21"/>
        <v>8147793.0989419613</v>
      </c>
      <c r="I371" s="541">
        <f t="shared" si="22"/>
        <v>0</v>
      </c>
      <c r="J371" s="541"/>
      <c r="K371" s="561">
        <v>1596924</v>
      </c>
      <c r="L371" s="545"/>
      <c r="M371" s="561">
        <v>1596924</v>
      </c>
      <c r="N371" s="545"/>
      <c r="O371" s="545"/>
    </row>
    <row r="372" spans="3:15">
      <c r="C372" s="537">
        <f>IF(D363="","-",+C371+1)</f>
        <v>2017</v>
      </c>
      <c r="D372" s="495">
        <f t="shared" si="18"/>
        <v>56928122.469166674</v>
      </c>
      <c r="E372" s="538">
        <f t="shared" si="23"/>
        <v>1682604.605</v>
      </c>
      <c r="F372" s="495">
        <f t="shared" si="19"/>
        <v>55245517.864166677</v>
      </c>
      <c r="G372" s="543">
        <f t="shared" si="20"/>
        <v>7959486.6379533596</v>
      </c>
      <c r="H372" s="544">
        <f t="shared" si="21"/>
        <v>7959486.6379533596</v>
      </c>
      <c r="I372" s="541">
        <f t="shared" si="22"/>
        <v>0</v>
      </c>
      <c r="J372" s="541"/>
      <c r="K372" s="561">
        <v>8620533</v>
      </c>
      <c r="L372" s="545"/>
      <c r="M372" s="561">
        <v>8620533</v>
      </c>
      <c r="N372" s="545"/>
      <c r="O372" s="545"/>
    </row>
    <row r="373" spans="3:15">
      <c r="C373" s="943">
        <f>IF(D363="","-",+C372+1)</f>
        <v>2018</v>
      </c>
      <c r="D373" s="495">
        <f t="shared" si="18"/>
        <v>55245517.864166677</v>
      </c>
      <c r="E373" s="538">
        <f t="shared" si="23"/>
        <v>1682604.605</v>
      </c>
      <c r="F373" s="495">
        <f t="shared" si="19"/>
        <v>53562913.25916668</v>
      </c>
      <c r="G373" s="543">
        <f t="shared" si="20"/>
        <v>7771180.1769647598</v>
      </c>
      <c r="H373" s="544">
        <f t="shared" si="21"/>
        <v>7771180.1769647598</v>
      </c>
      <c r="I373" s="541">
        <f t="shared" si="22"/>
        <v>0</v>
      </c>
      <c r="J373" s="541"/>
      <c r="K373" s="561">
        <v>6863859</v>
      </c>
      <c r="L373" s="545"/>
      <c r="M373" s="561">
        <v>6863859</v>
      </c>
      <c r="N373" s="545"/>
      <c r="O373" s="545"/>
    </row>
    <row r="374" spans="3:15">
      <c r="C374" s="943">
        <f>IF(D364="","-",+C373+1)</f>
        <v>2019</v>
      </c>
      <c r="D374" s="495">
        <f t="shared" si="18"/>
        <v>53562913.25916668</v>
      </c>
      <c r="E374" s="538">
        <f t="shared" si="23"/>
        <v>1682604.605</v>
      </c>
      <c r="F374" s="495">
        <f t="shared" si="19"/>
        <v>51880308.654166684</v>
      </c>
      <c r="G374" s="543">
        <f t="shared" si="20"/>
        <v>7582873.7159761582</v>
      </c>
      <c r="H374" s="544">
        <f t="shared" si="21"/>
        <v>7582873.7159761582</v>
      </c>
      <c r="I374" s="541">
        <f t="shared" si="22"/>
        <v>0</v>
      </c>
      <c r="J374" s="541"/>
      <c r="K374" s="561">
        <v>7470796.186183935</v>
      </c>
      <c r="L374" s="545"/>
      <c r="M374" s="561">
        <v>7470796.186183935</v>
      </c>
      <c r="N374" s="545"/>
      <c r="O374" s="545"/>
    </row>
    <row r="375" spans="3:15">
      <c r="C375" s="943">
        <f>IF(D365="","-",+C374+1)</f>
        <v>2020</v>
      </c>
      <c r="D375" s="495">
        <f t="shared" si="18"/>
        <v>51880308.654166684</v>
      </c>
      <c r="E375" s="538">
        <f t="shared" si="23"/>
        <v>1682604.605</v>
      </c>
      <c r="F375" s="495">
        <f t="shared" si="19"/>
        <v>50197704.049166687</v>
      </c>
      <c r="G375" s="543">
        <f t="shared" si="20"/>
        <v>7394567.2549875583</v>
      </c>
      <c r="H375" s="544">
        <f t="shared" si="21"/>
        <v>7394567.2549875583</v>
      </c>
      <c r="I375" s="541">
        <f t="shared" si="22"/>
        <v>0</v>
      </c>
      <c r="J375" s="541"/>
      <c r="K375" s="561">
        <v>7563743.814107067</v>
      </c>
      <c r="L375" s="545"/>
      <c r="M375" s="561">
        <v>7563743.814107067</v>
      </c>
      <c r="N375" s="545"/>
      <c r="O375" s="545"/>
    </row>
    <row r="376" spans="3:15">
      <c r="C376" s="943">
        <f>IF(D366="","-",+C375+1)</f>
        <v>2021</v>
      </c>
      <c r="D376" s="495">
        <f t="shared" si="18"/>
        <v>50197704.049166687</v>
      </c>
      <c r="E376" s="538">
        <f t="shared" si="23"/>
        <v>1682604.605</v>
      </c>
      <c r="F376" s="495">
        <f t="shared" si="19"/>
        <v>48515099.44416669</v>
      </c>
      <c r="G376" s="543">
        <f t="shared" si="20"/>
        <v>7206260.7939989585</v>
      </c>
      <c r="H376" s="544">
        <f t="shared" si="21"/>
        <v>7206260.7939989585</v>
      </c>
      <c r="I376" s="541">
        <f t="shared" si="22"/>
        <v>0</v>
      </c>
      <c r="J376" s="541"/>
      <c r="K376" s="561">
        <v>7012207.6163820876</v>
      </c>
      <c r="L376" s="545"/>
      <c r="M376" s="561">
        <v>7012207.6163820876</v>
      </c>
      <c r="N376" s="545"/>
      <c r="O376" s="545"/>
    </row>
    <row r="377" spans="3:15">
      <c r="C377" s="943">
        <f>IF(D367="","-",+C376+1)</f>
        <v>2022</v>
      </c>
      <c r="D377" s="495">
        <f t="shared" si="18"/>
        <v>48515099.44416669</v>
      </c>
      <c r="E377" s="538">
        <f t="shared" si="23"/>
        <v>1682604.605</v>
      </c>
      <c r="F377" s="495">
        <f t="shared" si="19"/>
        <v>46832494.839166693</v>
      </c>
      <c r="G377" s="543">
        <f t="shared" si="20"/>
        <v>7017954.3330103587</v>
      </c>
      <c r="H377" s="544">
        <f t="shared" si="21"/>
        <v>7017954.3330103587</v>
      </c>
      <c r="I377" s="541">
        <f t="shared" si="22"/>
        <v>0</v>
      </c>
      <c r="J377" s="541"/>
      <c r="K377" s="561">
        <v>7122748.7522307895</v>
      </c>
      <c r="L377" s="545"/>
      <c r="M377" s="561">
        <v>7122748.7522307895</v>
      </c>
      <c r="N377" s="545"/>
      <c r="O377" s="545"/>
    </row>
    <row r="378" spans="3:15">
      <c r="C378" s="537">
        <f>IF(D363="","-",+C377+1)</f>
        <v>2023</v>
      </c>
      <c r="D378" s="495">
        <f t="shared" si="18"/>
        <v>46832494.839166693</v>
      </c>
      <c r="E378" s="538">
        <f t="shared" si="23"/>
        <v>1682604.605</v>
      </c>
      <c r="F378" s="495">
        <f t="shared" si="19"/>
        <v>45149890.234166697</v>
      </c>
      <c r="G378" s="543">
        <f t="shared" si="20"/>
        <v>6829647.8720217571</v>
      </c>
      <c r="H378" s="544">
        <f t="shared" si="21"/>
        <v>6829647.8720217571</v>
      </c>
      <c r="I378" s="541">
        <f t="shared" si="22"/>
        <v>0</v>
      </c>
      <c r="J378" s="541"/>
      <c r="K378" s="561">
        <v>6932414.1715410287</v>
      </c>
      <c r="L378" s="545"/>
      <c r="M378" s="561">
        <v>6932414.1715410287</v>
      </c>
      <c r="N378" s="545"/>
      <c r="O378" s="545"/>
    </row>
    <row r="379" spans="3:15">
      <c r="C379" s="537">
        <f>IF(D363="","-",+C378+1)</f>
        <v>2024</v>
      </c>
      <c r="D379" s="495">
        <f t="shared" si="18"/>
        <v>45149890.234166697</v>
      </c>
      <c r="E379" s="538">
        <f t="shared" si="23"/>
        <v>1682604.605</v>
      </c>
      <c r="F379" s="495">
        <f t="shared" si="19"/>
        <v>43467285.6291667</v>
      </c>
      <c r="G379" s="543">
        <f t="shared" si="20"/>
        <v>6641341.4110331573</v>
      </c>
      <c r="H379" s="544">
        <f t="shared" si="21"/>
        <v>6641341.4110331573</v>
      </c>
      <c r="I379" s="541">
        <f t="shared" si="22"/>
        <v>0</v>
      </c>
      <c r="J379" s="541"/>
      <c r="K379" s="561">
        <v>6707065.8658797545</v>
      </c>
      <c r="L379" s="545"/>
      <c r="M379" s="561">
        <v>6707065.8658797545</v>
      </c>
      <c r="N379" s="545"/>
      <c r="O379" s="545"/>
    </row>
    <row r="380" spans="3:15">
      <c r="C380" s="537">
        <f>IF(D363="","-",+C379+1)</f>
        <v>2025</v>
      </c>
      <c r="D380" s="495">
        <f t="shared" si="18"/>
        <v>43467285.6291667</v>
      </c>
      <c r="E380" s="538">
        <f t="shared" si="23"/>
        <v>1682604.605</v>
      </c>
      <c r="F380" s="495">
        <f t="shared" si="19"/>
        <v>41784681.024166703</v>
      </c>
      <c r="G380" s="543">
        <f t="shared" si="20"/>
        <v>6453034.9500445556</v>
      </c>
      <c r="H380" s="544">
        <f t="shared" si="21"/>
        <v>6453034.9500445556</v>
      </c>
      <c r="I380" s="541">
        <f t="shared" si="22"/>
        <v>0</v>
      </c>
      <c r="J380" s="541"/>
      <c r="K380" s="561">
        <v>6581372.5805551503</v>
      </c>
      <c r="L380" s="545"/>
      <c r="M380" s="561">
        <v>6581372.5805551503</v>
      </c>
      <c r="N380" s="545"/>
      <c r="O380" s="545"/>
    </row>
    <row r="381" spans="3:15">
      <c r="C381" s="935">
        <f>IF(D363="","-",+C380+1)</f>
        <v>2026</v>
      </c>
      <c r="D381" s="495">
        <f t="shared" si="18"/>
        <v>41784681.024166703</v>
      </c>
      <c r="E381" s="538">
        <f t="shared" si="23"/>
        <v>1682604.605</v>
      </c>
      <c r="F381" s="495">
        <f t="shared" si="19"/>
        <v>40102076.419166707</v>
      </c>
      <c r="G381" s="543">
        <f t="shared" si="20"/>
        <v>6264728.4890559558</v>
      </c>
      <c r="H381" s="544">
        <f t="shared" si="21"/>
        <v>6264728.4890559558</v>
      </c>
      <c r="I381" s="541">
        <f t="shared" si="22"/>
        <v>0</v>
      </c>
      <c r="J381" s="541"/>
      <c r="K381" s="561"/>
      <c r="L381" s="545"/>
      <c r="M381" s="561"/>
      <c r="N381" s="546"/>
      <c r="O381" s="545"/>
    </row>
    <row r="382" spans="3:15">
      <c r="C382" s="537">
        <f>IF(D363="","-",+C381+1)</f>
        <v>2027</v>
      </c>
      <c r="D382" s="495">
        <f t="shared" si="18"/>
        <v>40102076.419166707</v>
      </c>
      <c r="E382" s="538">
        <f t="shared" si="23"/>
        <v>1682604.605</v>
      </c>
      <c r="F382" s="495">
        <f t="shared" si="19"/>
        <v>38419471.81416671</v>
      </c>
      <c r="G382" s="543">
        <f t="shared" si="20"/>
        <v>6076422.028067356</v>
      </c>
      <c r="H382" s="544">
        <f t="shared" si="21"/>
        <v>6076422.028067356</v>
      </c>
      <c r="I382" s="541">
        <f t="shared" si="22"/>
        <v>0</v>
      </c>
      <c r="J382" s="541"/>
      <c r="K382" s="561"/>
      <c r="L382" s="545"/>
      <c r="M382" s="561"/>
      <c r="N382" s="545"/>
      <c r="O382" s="545"/>
    </row>
    <row r="383" spans="3:15">
      <c r="C383" s="537">
        <f>IF(D363="","-",+C382+1)</f>
        <v>2028</v>
      </c>
      <c r="D383" s="495">
        <f t="shared" si="18"/>
        <v>38419471.81416671</v>
      </c>
      <c r="E383" s="538">
        <f t="shared" si="23"/>
        <v>1682604.605</v>
      </c>
      <c r="F383" s="495">
        <f t="shared" si="19"/>
        <v>36736867.209166713</v>
      </c>
      <c r="G383" s="543">
        <f t="shared" si="20"/>
        <v>5888115.5670787562</v>
      </c>
      <c r="H383" s="544">
        <f t="shared" si="21"/>
        <v>5888115.5670787562</v>
      </c>
      <c r="I383" s="541">
        <f t="shared" si="22"/>
        <v>0</v>
      </c>
      <c r="J383" s="541"/>
      <c r="K383" s="561"/>
      <c r="L383" s="545"/>
      <c r="M383" s="561"/>
      <c r="N383" s="545"/>
      <c r="O383" s="545"/>
    </row>
    <row r="384" spans="3:15">
      <c r="C384" s="537">
        <f>IF(D363="","-",+C383+1)</f>
        <v>2029</v>
      </c>
      <c r="D384" s="495">
        <f t="shared" si="18"/>
        <v>36736867.209166713</v>
      </c>
      <c r="E384" s="538">
        <f t="shared" si="23"/>
        <v>1682604.605</v>
      </c>
      <c r="F384" s="495">
        <f t="shared" si="19"/>
        <v>35054262.604166716</v>
      </c>
      <c r="G384" s="543">
        <f t="shared" si="20"/>
        <v>5699809.1060901545</v>
      </c>
      <c r="H384" s="544">
        <f t="shared" si="21"/>
        <v>5699809.1060901545</v>
      </c>
      <c r="I384" s="541">
        <f t="shared" si="22"/>
        <v>0</v>
      </c>
      <c r="J384" s="541"/>
      <c r="K384" s="561"/>
      <c r="L384" s="545"/>
      <c r="M384" s="561"/>
      <c r="N384" s="545"/>
      <c r="O384" s="545"/>
    </row>
    <row r="385" spans="3:15">
      <c r="C385" s="537">
        <f>IF(D363="","-",+C384+1)</f>
        <v>2030</v>
      </c>
      <c r="D385" s="495">
        <f t="shared" si="18"/>
        <v>35054262.604166716</v>
      </c>
      <c r="E385" s="538">
        <f t="shared" si="23"/>
        <v>1682604.605</v>
      </c>
      <c r="F385" s="495">
        <f t="shared" si="19"/>
        <v>33371657.999166716</v>
      </c>
      <c r="G385" s="543">
        <f t="shared" si="20"/>
        <v>5511502.6451015547</v>
      </c>
      <c r="H385" s="544">
        <f t="shared" si="21"/>
        <v>5511502.6451015547</v>
      </c>
      <c r="I385" s="541">
        <f t="shared" si="22"/>
        <v>0</v>
      </c>
      <c r="J385" s="541"/>
      <c r="K385" s="561"/>
      <c r="L385" s="545"/>
      <c r="M385" s="561"/>
      <c r="N385" s="545"/>
      <c r="O385" s="545"/>
    </row>
    <row r="386" spans="3:15">
      <c r="C386" s="537">
        <f>IF(D363="","-",+C385+1)</f>
        <v>2031</v>
      </c>
      <c r="D386" s="495">
        <f t="shared" si="18"/>
        <v>33371657.999166716</v>
      </c>
      <c r="E386" s="538">
        <f t="shared" si="23"/>
        <v>1682604.605</v>
      </c>
      <c r="F386" s="495">
        <f t="shared" si="19"/>
        <v>31689053.394166715</v>
      </c>
      <c r="G386" s="543">
        <f t="shared" si="20"/>
        <v>5323196.184112954</v>
      </c>
      <c r="H386" s="544">
        <f t="shared" si="21"/>
        <v>5323196.184112954</v>
      </c>
      <c r="I386" s="541">
        <f t="shared" si="22"/>
        <v>0</v>
      </c>
      <c r="J386" s="541"/>
      <c r="K386" s="561"/>
      <c r="L386" s="545"/>
      <c r="M386" s="561"/>
      <c r="N386" s="545"/>
      <c r="O386" s="545"/>
    </row>
    <row r="387" spans="3:15">
      <c r="C387" s="537">
        <f>IF(D363="","-",+C386+1)</f>
        <v>2032</v>
      </c>
      <c r="D387" s="495">
        <f t="shared" si="18"/>
        <v>31689053.394166715</v>
      </c>
      <c r="E387" s="538">
        <f t="shared" si="23"/>
        <v>1682604.605</v>
      </c>
      <c r="F387" s="495">
        <f t="shared" si="19"/>
        <v>30006448.789166715</v>
      </c>
      <c r="G387" s="543">
        <f t="shared" si="20"/>
        <v>5134889.7231243523</v>
      </c>
      <c r="H387" s="544">
        <f t="shared" si="21"/>
        <v>5134889.7231243523</v>
      </c>
      <c r="I387" s="541">
        <f t="shared" si="22"/>
        <v>0</v>
      </c>
      <c r="J387" s="541"/>
      <c r="K387" s="561"/>
      <c r="L387" s="545"/>
      <c r="M387" s="561"/>
      <c r="N387" s="545"/>
      <c r="O387" s="545"/>
    </row>
    <row r="388" spans="3:15">
      <c r="C388" s="537">
        <f>IF(D363="","-",+C387+1)</f>
        <v>2033</v>
      </c>
      <c r="D388" s="495">
        <f t="shared" si="18"/>
        <v>30006448.789166715</v>
      </c>
      <c r="E388" s="538">
        <f t="shared" si="23"/>
        <v>1682604.605</v>
      </c>
      <c r="F388" s="495">
        <f t="shared" si="19"/>
        <v>28323844.184166715</v>
      </c>
      <c r="G388" s="543">
        <f t="shared" si="20"/>
        <v>4946583.2621357515</v>
      </c>
      <c r="H388" s="544">
        <f t="shared" si="21"/>
        <v>4946583.2621357515</v>
      </c>
      <c r="I388" s="541">
        <f t="shared" si="22"/>
        <v>0</v>
      </c>
      <c r="J388" s="541"/>
      <c r="K388" s="561"/>
      <c r="L388" s="545"/>
      <c r="M388" s="561"/>
      <c r="N388" s="545"/>
      <c r="O388" s="545"/>
    </row>
    <row r="389" spans="3:15">
      <c r="C389" s="537">
        <f>IF(D363="","-",+C388+1)</f>
        <v>2034</v>
      </c>
      <c r="D389" s="495">
        <f t="shared" si="18"/>
        <v>28323844.184166715</v>
      </c>
      <c r="E389" s="538">
        <f t="shared" si="23"/>
        <v>1682604.605</v>
      </c>
      <c r="F389" s="495">
        <f t="shared" si="19"/>
        <v>26641239.579166714</v>
      </c>
      <c r="G389" s="543">
        <f t="shared" si="20"/>
        <v>4758276.8011471508</v>
      </c>
      <c r="H389" s="544">
        <f t="shared" si="21"/>
        <v>4758276.8011471508</v>
      </c>
      <c r="I389" s="541">
        <f t="shared" si="22"/>
        <v>0</v>
      </c>
      <c r="J389" s="541"/>
      <c r="K389" s="561"/>
      <c r="L389" s="545"/>
      <c r="M389" s="561"/>
      <c r="N389" s="545"/>
      <c r="O389" s="545"/>
    </row>
    <row r="390" spans="3:15">
      <c r="C390" s="537">
        <f>IF(D363="","-",+C389+1)</f>
        <v>2035</v>
      </c>
      <c r="D390" s="495">
        <f t="shared" si="18"/>
        <v>26641239.579166714</v>
      </c>
      <c r="E390" s="538">
        <f t="shared" si="23"/>
        <v>1682604.605</v>
      </c>
      <c r="F390" s="495">
        <f t="shared" si="19"/>
        <v>24958634.974166714</v>
      </c>
      <c r="G390" s="543">
        <f t="shared" si="20"/>
        <v>4569970.3401585501</v>
      </c>
      <c r="H390" s="544">
        <f t="shared" si="21"/>
        <v>4569970.3401585501</v>
      </c>
      <c r="I390" s="541">
        <f t="shared" si="22"/>
        <v>0</v>
      </c>
      <c r="J390" s="541"/>
      <c r="K390" s="561"/>
      <c r="L390" s="545"/>
      <c r="M390" s="561"/>
      <c r="N390" s="545"/>
      <c r="O390" s="545"/>
    </row>
    <row r="391" spans="3:15">
      <c r="C391" s="537">
        <f>IF(D363="","-",+C390+1)</f>
        <v>2036</v>
      </c>
      <c r="D391" s="495">
        <f t="shared" si="18"/>
        <v>24958634.974166714</v>
      </c>
      <c r="E391" s="538">
        <f t="shared" si="23"/>
        <v>1682604.605</v>
      </c>
      <c r="F391" s="495">
        <f t="shared" si="19"/>
        <v>23276030.369166713</v>
      </c>
      <c r="G391" s="543">
        <f t="shared" si="20"/>
        <v>4381663.8791699493</v>
      </c>
      <c r="H391" s="544">
        <f t="shared" si="21"/>
        <v>4381663.8791699493</v>
      </c>
      <c r="I391" s="541">
        <f t="shared" si="22"/>
        <v>0</v>
      </c>
      <c r="J391" s="541"/>
      <c r="K391" s="561"/>
      <c r="L391" s="545"/>
      <c r="M391" s="561"/>
      <c r="N391" s="545"/>
      <c r="O391" s="545"/>
    </row>
    <row r="392" spans="3:15">
      <c r="C392" s="537">
        <f>IF(D363="","-",+C391+1)</f>
        <v>2037</v>
      </c>
      <c r="D392" s="495">
        <f t="shared" si="18"/>
        <v>23276030.369166713</v>
      </c>
      <c r="E392" s="538">
        <f t="shared" si="23"/>
        <v>1682604.605</v>
      </c>
      <c r="F392" s="495">
        <f t="shared" si="19"/>
        <v>21593425.764166713</v>
      </c>
      <c r="G392" s="543">
        <f t="shared" si="20"/>
        <v>4193357.4181813491</v>
      </c>
      <c r="H392" s="544">
        <f t="shared" si="21"/>
        <v>4193357.4181813491</v>
      </c>
      <c r="I392" s="541">
        <f t="shared" si="22"/>
        <v>0</v>
      </c>
      <c r="J392" s="541"/>
      <c r="K392" s="561"/>
      <c r="L392" s="545"/>
      <c r="M392" s="561"/>
      <c r="N392" s="545"/>
      <c r="O392" s="545"/>
    </row>
    <row r="393" spans="3:15">
      <c r="C393" s="537">
        <f>IF(D363="","-",+C392+1)</f>
        <v>2038</v>
      </c>
      <c r="D393" s="495">
        <f t="shared" si="18"/>
        <v>21593425.764166713</v>
      </c>
      <c r="E393" s="538">
        <f t="shared" si="23"/>
        <v>1682604.605</v>
      </c>
      <c r="F393" s="495">
        <f t="shared" si="19"/>
        <v>19910821.159166712</v>
      </c>
      <c r="G393" s="543">
        <f t="shared" si="20"/>
        <v>4005050.9571927479</v>
      </c>
      <c r="H393" s="544">
        <f t="shared" si="21"/>
        <v>4005050.9571927479</v>
      </c>
      <c r="I393" s="541">
        <f t="shared" si="22"/>
        <v>0</v>
      </c>
      <c r="J393" s="541"/>
      <c r="K393" s="561"/>
      <c r="L393" s="545"/>
      <c r="M393" s="561"/>
      <c r="N393" s="545"/>
      <c r="O393" s="545"/>
    </row>
    <row r="394" spans="3:15">
      <c r="C394" s="537">
        <f>IF(D363="","-",+C393+1)</f>
        <v>2039</v>
      </c>
      <c r="D394" s="495">
        <f t="shared" si="18"/>
        <v>19910821.159166712</v>
      </c>
      <c r="E394" s="538">
        <f t="shared" si="23"/>
        <v>1682604.605</v>
      </c>
      <c r="F394" s="495">
        <f t="shared" si="19"/>
        <v>18228216.554166712</v>
      </c>
      <c r="G394" s="543">
        <f t="shared" si="20"/>
        <v>3816744.4962041471</v>
      </c>
      <c r="H394" s="544">
        <f t="shared" si="21"/>
        <v>3816744.4962041471</v>
      </c>
      <c r="I394" s="541">
        <f t="shared" si="22"/>
        <v>0</v>
      </c>
      <c r="J394" s="541"/>
      <c r="K394" s="561"/>
      <c r="L394" s="545"/>
      <c r="M394" s="561"/>
      <c r="N394" s="545"/>
      <c r="O394" s="545"/>
    </row>
    <row r="395" spans="3:15">
      <c r="C395" s="537">
        <f>IF(D363="","-",+C394+1)</f>
        <v>2040</v>
      </c>
      <c r="D395" s="495">
        <f t="shared" si="18"/>
        <v>18228216.554166712</v>
      </c>
      <c r="E395" s="538">
        <f t="shared" si="23"/>
        <v>1682604.605</v>
      </c>
      <c r="F395" s="495">
        <f t="shared" si="19"/>
        <v>16545611.949166711</v>
      </c>
      <c r="G395" s="543">
        <f t="shared" si="20"/>
        <v>3628438.0352155459</v>
      </c>
      <c r="H395" s="544">
        <f t="shared" si="21"/>
        <v>3628438.0352155459</v>
      </c>
      <c r="I395" s="541">
        <f t="shared" si="22"/>
        <v>0</v>
      </c>
      <c r="J395" s="541"/>
      <c r="K395" s="561"/>
      <c r="L395" s="545"/>
      <c r="M395" s="561"/>
      <c r="N395" s="545"/>
      <c r="O395" s="545"/>
    </row>
    <row r="396" spans="3:15">
      <c r="C396" s="537">
        <f>IF(D363="","-",+C395+1)</f>
        <v>2041</v>
      </c>
      <c r="D396" s="495">
        <f t="shared" si="18"/>
        <v>16545611.949166711</v>
      </c>
      <c r="E396" s="538">
        <f t="shared" si="23"/>
        <v>1682604.605</v>
      </c>
      <c r="F396" s="495">
        <f t="shared" si="19"/>
        <v>14863007.344166711</v>
      </c>
      <c r="G396" s="543">
        <f t="shared" si="20"/>
        <v>3440131.5742269456</v>
      </c>
      <c r="H396" s="544">
        <f t="shared" si="21"/>
        <v>3440131.5742269456</v>
      </c>
      <c r="I396" s="541">
        <f t="shared" si="22"/>
        <v>0</v>
      </c>
      <c r="J396" s="541"/>
      <c r="K396" s="561"/>
      <c r="L396" s="545"/>
      <c r="M396" s="561"/>
      <c r="N396" s="545"/>
      <c r="O396" s="545"/>
    </row>
    <row r="397" spans="3:15">
      <c r="C397" s="537">
        <f>IF(D363="","-",+C396+1)</f>
        <v>2042</v>
      </c>
      <c r="D397" s="495">
        <f t="shared" si="18"/>
        <v>14863007.344166711</v>
      </c>
      <c r="E397" s="538">
        <f t="shared" si="23"/>
        <v>1682604.605</v>
      </c>
      <c r="F397" s="495">
        <f t="shared" si="19"/>
        <v>13180402.739166711</v>
      </c>
      <c r="G397" s="539">
        <f t="shared" si="20"/>
        <v>3251825.1132383449</v>
      </c>
      <c r="H397" s="544">
        <f t="shared" si="21"/>
        <v>3251825.1132383449</v>
      </c>
      <c r="I397" s="541">
        <f t="shared" si="22"/>
        <v>0</v>
      </c>
      <c r="J397" s="541"/>
      <c r="K397" s="561"/>
      <c r="L397" s="545"/>
      <c r="M397" s="561"/>
      <c r="N397" s="545"/>
      <c r="O397" s="545"/>
    </row>
    <row r="398" spans="3:15">
      <c r="C398" s="537">
        <f>IF(D363="","-",+C397+1)</f>
        <v>2043</v>
      </c>
      <c r="D398" s="495">
        <f t="shared" si="18"/>
        <v>13180402.739166711</v>
      </c>
      <c r="E398" s="538">
        <f t="shared" si="23"/>
        <v>1682604.605</v>
      </c>
      <c r="F398" s="495">
        <f t="shared" si="19"/>
        <v>11497798.13416671</v>
      </c>
      <c r="G398" s="543">
        <f t="shared" si="20"/>
        <v>3063518.6522497437</v>
      </c>
      <c r="H398" s="544">
        <f t="shared" si="21"/>
        <v>3063518.6522497437</v>
      </c>
      <c r="I398" s="541">
        <f t="shared" si="22"/>
        <v>0</v>
      </c>
      <c r="J398" s="541"/>
      <c r="K398" s="561"/>
      <c r="L398" s="545"/>
      <c r="M398" s="561"/>
      <c r="N398" s="545"/>
      <c r="O398" s="545"/>
    </row>
    <row r="399" spans="3:15">
      <c r="C399" s="537">
        <f>IF(D363="","-",+C398+1)</f>
        <v>2044</v>
      </c>
      <c r="D399" s="495">
        <f t="shared" si="18"/>
        <v>11497798.13416671</v>
      </c>
      <c r="E399" s="538">
        <f t="shared" si="23"/>
        <v>1682604.605</v>
      </c>
      <c r="F399" s="495">
        <f t="shared" si="19"/>
        <v>9815193.5291667096</v>
      </c>
      <c r="G399" s="543">
        <f t="shared" si="20"/>
        <v>2875212.191261143</v>
      </c>
      <c r="H399" s="544">
        <f t="shared" si="21"/>
        <v>2875212.191261143</v>
      </c>
      <c r="I399" s="541">
        <f t="shared" si="22"/>
        <v>0</v>
      </c>
      <c r="J399" s="541"/>
      <c r="K399" s="561"/>
      <c r="L399" s="545"/>
      <c r="M399" s="561"/>
      <c r="N399" s="545"/>
      <c r="O399" s="545"/>
    </row>
    <row r="400" spans="3:15">
      <c r="C400" s="537">
        <f>IF(D363="","-",+C399+1)</f>
        <v>2045</v>
      </c>
      <c r="D400" s="495">
        <f t="shared" si="18"/>
        <v>9815193.5291667096</v>
      </c>
      <c r="E400" s="538">
        <f t="shared" si="23"/>
        <v>1682604.605</v>
      </c>
      <c r="F400" s="495">
        <f t="shared" si="19"/>
        <v>8132588.9241667092</v>
      </c>
      <c r="G400" s="543">
        <f t="shared" si="20"/>
        <v>2686905.7302725422</v>
      </c>
      <c r="H400" s="544">
        <f t="shared" si="21"/>
        <v>2686905.7302725422</v>
      </c>
      <c r="I400" s="541">
        <f t="shared" si="22"/>
        <v>0</v>
      </c>
      <c r="J400" s="541"/>
      <c r="K400" s="561"/>
      <c r="L400" s="545"/>
      <c r="M400" s="561"/>
      <c r="N400" s="545"/>
      <c r="O400" s="545"/>
    </row>
    <row r="401" spans="3:15">
      <c r="C401" s="537">
        <f>IF(D363="","-",+C400+1)</f>
        <v>2046</v>
      </c>
      <c r="D401" s="495">
        <f t="shared" si="18"/>
        <v>8132588.9241667092</v>
      </c>
      <c r="E401" s="538">
        <f t="shared" si="23"/>
        <v>1682604.605</v>
      </c>
      <c r="F401" s="495">
        <f t="shared" si="19"/>
        <v>6449984.3191667087</v>
      </c>
      <c r="G401" s="543">
        <f t="shared" si="20"/>
        <v>2498599.2692839415</v>
      </c>
      <c r="H401" s="544">
        <f t="shared" si="21"/>
        <v>2498599.2692839415</v>
      </c>
      <c r="I401" s="541">
        <f t="shared" si="22"/>
        <v>0</v>
      </c>
      <c r="J401" s="541"/>
      <c r="K401" s="561"/>
      <c r="L401" s="545"/>
      <c r="M401" s="561"/>
      <c r="N401" s="545"/>
      <c r="O401" s="545"/>
    </row>
    <row r="402" spans="3:15">
      <c r="C402" s="537">
        <f>IF(D363="","-",+C401+1)</f>
        <v>2047</v>
      </c>
      <c r="D402" s="495">
        <f t="shared" si="18"/>
        <v>6449984.3191667087</v>
      </c>
      <c r="E402" s="538">
        <f t="shared" si="23"/>
        <v>1682604.605</v>
      </c>
      <c r="F402" s="495">
        <f t="shared" si="19"/>
        <v>4767379.7141667083</v>
      </c>
      <c r="G402" s="543">
        <f t="shared" si="20"/>
        <v>2310292.8082953403</v>
      </c>
      <c r="H402" s="544">
        <f t="shared" si="21"/>
        <v>2310292.8082953403</v>
      </c>
      <c r="I402" s="541">
        <f t="shared" si="22"/>
        <v>0</v>
      </c>
      <c r="J402" s="541"/>
      <c r="K402" s="561"/>
      <c r="L402" s="545"/>
      <c r="M402" s="561"/>
      <c r="N402" s="545"/>
      <c r="O402" s="545"/>
    </row>
    <row r="403" spans="3:15">
      <c r="C403" s="537">
        <f>IF(D363="","-",+C402+1)</f>
        <v>2048</v>
      </c>
      <c r="D403" s="495">
        <f t="shared" si="18"/>
        <v>4767379.7141667083</v>
      </c>
      <c r="E403" s="538">
        <f t="shared" si="23"/>
        <v>1682604.605</v>
      </c>
      <c r="F403" s="495">
        <f t="shared" si="19"/>
        <v>3084775.1091667083</v>
      </c>
      <c r="G403" s="543">
        <f t="shared" si="20"/>
        <v>2121986.3473067395</v>
      </c>
      <c r="H403" s="544">
        <f t="shared" si="21"/>
        <v>2121986.3473067395</v>
      </c>
      <c r="I403" s="541">
        <f t="shared" si="22"/>
        <v>0</v>
      </c>
      <c r="J403" s="541"/>
      <c r="K403" s="561"/>
      <c r="L403" s="545"/>
      <c r="M403" s="561"/>
      <c r="N403" s="545"/>
      <c r="O403" s="545"/>
    </row>
    <row r="404" spans="3:15">
      <c r="C404" s="537">
        <f>IF(D363="","-",+C403+1)</f>
        <v>2049</v>
      </c>
      <c r="D404" s="495">
        <f t="shared" si="18"/>
        <v>3084775.1091667083</v>
      </c>
      <c r="E404" s="538">
        <f t="shared" si="23"/>
        <v>1682604.605</v>
      </c>
      <c r="F404" s="495">
        <f t="shared" si="19"/>
        <v>1402170.5041667083</v>
      </c>
      <c r="G404" s="543">
        <f t="shared" si="20"/>
        <v>1933679.886318139</v>
      </c>
      <c r="H404" s="544">
        <f t="shared" si="21"/>
        <v>1933679.886318139</v>
      </c>
      <c r="I404" s="541">
        <f t="shared" si="22"/>
        <v>0</v>
      </c>
      <c r="J404" s="541"/>
      <c r="K404" s="561"/>
      <c r="L404" s="545"/>
      <c r="M404" s="561"/>
      <c r="N404" s="545"/>
      <c r="O404" s="545"/>
    </row>
    <row r="405" spans="3:15">
      <c r="C405" s="537">
        <f>IF(D363="","-",+C404+1)</f>
        <v>2050</v>
      </c>
      <c r="D405" s="495">
        <f t="shared" si="18"/>
        <v>1402170.5041667083</v>
      </c>
      <c r="E405" s="538">
        <f t="shared" si="23"/>
        <v>1402170.5041667083</v>
      </c>
      <c r="F405" s="495">
        <f t="shared" si="19"/>
        <v>0</v>
      </c>
      <c r="G405" s="543">
        <f t="shared" si="20"/>
        <v>1480631.5295786276</v>
      </c>
      <c r="H405" s="544">
        <f t="shared" si="21"/>
        <v>1480631.5295786276</v>
      </c>
      <c r="I405" s="541">
        <f t="shared" si="22"/>
        <v>0</v>
      </c>
      <c r="J405" s="541"/>
      <c r="K405" s="561"/>
      <c r="L405" s="545"/>
      <c r="M405" s="561"/>
      <c r="N405" s="545"/>
      <c r="O405" s="545"/>
    </row>
    <row r="406" spans="3:15">
      <c r="C406" s="537">
        <f>IF(D363="","-",+C405+1)</f>
        <v>2051</v>
      </c>
      <c r="D406" s="495">
        <f t="shared" si="18"/>
        <v>0</v>
      </c>
      <c r="E406" s="538">
        <f t="shared" si="23"/>
        <v>0</v>
      </c>
      <c r="F406" s="495">
        <f t="shared" si="19"/>
        <v>0</v>
      </c>
      <c r="G406" s="543">
        <f t="shared" si="20"/>
        <v>0</v>
      </c>
      <c r="H406" s="544">
        <f t="shared" si="21"/>
        <v>0</v>
      </c>
      <c r="I406" s="541">
        <f t="shared" si="22"/>
        <v>0</v>
      </c>
      <c r="J406" s="541"/>
      <c r="K406" s="561"/>
      <c r="L406" s="545"/>
      <c r="M406" s="561"/>
      <c r="N406" s="545"/>
      <c r="O406" s="545"/>
    </row>
    <row r="407" spans="3:15">
      <c r="C407" s="537">
        <f>IF(D363="","-",+C406+1)</f>
        <v>2052</v>
      </c>
      <c r="D407" s="495">
        <f t="shared" si="18"/>
        <v>0</v>
      </c>
      <c r="E407" s="538">
        <f t="shared" si="23"/>
        <v>0</v>
      </c>
      <c r="F407" s="495">
        <f t="shared" si="19"/>
        <v>0</v>
      </c>
      <c r="G407" s="543">
        <f t="shared" si="20"/>
        <v>0</v>
      </c>
      <c r="H407" s="544">
        <f t="shared" si="21"/>
        <v>0</v>
      </c>
      <c r="I407" s="541">
        <f t="shared" si="22"/>
        <v>0</v>
      </c>
      <c r="J407" s="541"/>
      <c r="K407" s="561"/>
      <c r="L407" s="545"/>
      <c r="M407" s="561"/>
      <c r="N407" s="545"/>
      <c r="O407" s="545"/>
    </row>
    <row r="408" spans="3:15">
      <c r="C408" s="537">
        <f>IF(D363="","-",+C407+1)</f>
        <v>2053</v>
      </c>
      <c r="D408" s="495">
        <f t="shared" si="18"/>
        <v>0</v>
      </c>
      <c r="E408" s="538">
        <f t="shared" si="23"/>
        <v>0</v>
      </c>
      <c r="F408" s="495">
        <f t="shared" si="19"/>
        <v>0</v>
      </c>
      <c r="G408" s="543">
        <f t="shared" si="20"/>
        <v>0</v>
      </c>
      <c r="H408" s="544">
        <f t="shared" si="21"/>
        <v>0</v>
      </c>
      <c r="I408" s="541">
        <f t="shared" si="22"/>
        <v>0</v>
      </c>
      <c r="J408" s="541"/>
      <c r="K408" s="561"/>
      <c r="L408" s="545"/>
      <c r="M408" s="561"/>
      <c r="N408" s="545"/>
      <c r="O408" s="545"/>
    </row>
    <row r="409" spans="3:15">
      <c r="C409" s="537">
        <f>IF(D363="","-",+C408+1)</f>
        <v>2054</v>
      </c>
      <c r="D409" s="495">
        <f t="shared" si="18"/>
        <v>0</v>
      </c>
      <c r="E409" s="538">
        <f t="shared" si="23"/>
        <v>0</v>
      </c>
      <c r="F409" s="495">
        <f t="shared" si="19"/>
        <v>0</v>
      </c>
      <c r="G409" s="543">
        <f t="shared" si="20"/>
        <v>0</v>
      </c>
      <c r="H409" s="544">
        <f t="shared" si="21"/>
        <v>0</v>
      </c>
      <c r="I409" s="541">
        <f t="shared" si="22"/>
        <v>0</v>
      </c>
      <c r="J409" s="541"/>
      <c r="K409" s="561"/>
      <c r="L409" s="545"/>
      <c r="M409" s="561"/>
      <c r="N409" s="545"/>
      <c r="O409" s="545"/>
    </row>
    <row r="410" spans="3:15">
      <c r="C410" s="537">
        <f>IF(D363="","-",+C409+1)</f>
        <v>2055</v>
      </c>
      <c r="D410" s="495">
        <f t="shared" si="18"/>
        <v>0</v>
      </c>
      <c r="E410" s="538">
        <f t="shared" si="23"/>
        <v>0</v>
      </c>
      <c r="F410" s="495">
        <f t="shared" si="19"/>
        <v>0</v>
      </c>
      <c r="G410" s="543">
        <f t="shared" si="20"/>
        <v>0</v>
      </c>
      <c r="H410" s="544">
        <f t="shared" si="21"/>
        <v>0</v>
      </c>
      <c r="I410" s="541">
        <f t="shared" si="22"/>
        <v>0</v>
      </c>
      <c r="J410" s="541"/>
      <c r="K410" s="561"/>
      <c r="L410" s="545"/>
      <c r="M410" s="561"/>
      <c r="N410" s="545"/>
      <c r="O410" s="545"/>
    </row>
    <row r="411" spans="3:15">
      <c r="C411" s="537">
        <f>IF(D363="","-",+C410+1)</f>
        <v>2056</v>
      </c>
      <c r="D411" s="495">
        <f t="shared" si="18"/>
        <v>0</v>
      </c>
      <c r="E411" s="538">
        <f t="shared" si="23"/>
        <v>0</v>
      </c>
      <c r="F411" s="495">
        <f t="shared" si="19"/>
        <v>0</v>
      </c>
      <c r="G411" s="543">
        <f t="shared" si="20"/>
        <v>0</v>
      </c>
      <c r="H411" s="544">
        <f t="shared" si="21"/>
        <v>0</v>
      </c>
      <c r="I411" s="541">
        <f t="shared" si="22"/>
        <v>0</v>
      </c>
      <c r="J411" s="541"/>
      <c r="K411" s="561"/>
      <c r="L411" s="545"/>
      <c r="M411" s="561"/>
      <c r="N411" s="545"/>
      <c r="O411" s="545"/>
    </row>
    <row r="412" spans="3:15">
      <c r="C412" s="537">
        <f>IF(D363="","-",+C411+1)</f>
        <v>2057</v>
      </c>
      <c r="D412" s="495">
        <f t="shared" si="18"/>
        <v>0</v>
      </c>
      <c r="E412" s="538">
        <f t="shared" si="23"/>
        <v>0</v>
      </c>
      <c r="F412" s="495">
        <f t="shared" si="19"/>
        <v>0</v>
      </c>
      <c r="G412" s="543">
        <f t="shared" si="20"/>
        <v>0</v>
      </c>
      <c r="H412" s="544">
        <f t="shared" si="21"/>
        <v>0</v>
      </c>
      <c r="I412" s="541">
        <f t="shared" si="22"/>
        <v>0</v>
      </c>
      <c r="J412" s="541"/>
      <c r="K412" s="561"/>
      <c r="L412" s="545"/>
      <c r="M412" s="561"/>
      <c r="N412" s="545"/>
      <c r="O412" s="545"/>
    </row>
    <row r="413" spans="3:15">
      <c r="C413" s="537">
        <f>IF(D363="","-",+C412+1)</f>
        <v>2058</v>
      </c>
      <c r="D413" s="495">
        <f t="shared" si="18"/>
        <v>0</v>
      </c>
      <c r="E413" s="538">
        <f t="shared" si="23"/>
        <v>0</v>
      </c>
      <c r="F413" s="495">
        <f t="shared" si="19"/>
        <v>0</v>
      </c>
      <c r="G413" s="543">
        <f t="shared" si="20"/>
        <v>0</v>
      </c>
      <c r="H413" s="544">
        <f t="shared" si="21"/>
        <v>0</v>
      </c>
      <c r="I413" s="541">
        <f t="shared" si="22"/>
        <v>0</v>
      </c>
      <c r="J413" s="541"/>
      <c r="K413" s="561"/>
      <c r="L413" s="545"/>
      <c r="M413" s="561"/>
      <c r="N413" s="545"/>
      <c r="O413" s="545"/>
    </row>
    <row r="414" spans="3:15">
      <c r="C414" s="537">
        <f>IF(D363="","-",+C413+1)</f>
        <v>2059</v>
      </c>
      <c r="D414" s="495">
        <f t="shared" si="18"/>
        <v>0</v>
      </c>
      <c r="E414" s="538">
        <f t="shared" si="23"/>
        <v>0</v>
      </c>
      <c r="F414" s="495">
        <f t="shared" si="19"/>
        <v>0</v>
      </c>
      <c r="G414" s="543">
        <f t="shared" si="20"/>
        <v>0</v>
      </c>
      <c r="H414" s="544">
        <f t="shared" si="21"/>
        <v>0</v>
      </c>
      <c r="I414" s="541">
        <f t="shared" si="22"/>
        <v>0</v>
      </c>
      <c r="J414" s="541"/>
      <c r="K414" s="561"/>
      <c r="L414" s="545"/>
      <c r="M414" s="561"/>
      <c r="N414" s="545"/>
      <c r="O414" s="545"/>
    </row>
    <row r="415" spans="3:15">
      <c r="C415" s="537">
        <f>IF(D363="","-",+C414+1)</f>
        <v>2060</v>
      </c>
      <c r="D415" s="495">
        <f t="shared" si="18"/>
        <v>0</v>
      </c>
      <c r="E415" s="538">
        <f t="shared" si="23"/>
        <v>0</v>
      </c>
      <c r="F415" s="495">
        <f t="shared" si="19"/>
        <v>0</v>
      </c>
      <c r="G415" s="543">
        <f t="shared" si="20"/>
        <v>0</v>
      </c>
      <c r="H415" s="544">
        <f t="shared" si="21"/>
        <v>0</v>
      </c>
      <c r="I415" s="541">
        <f t="shared" si="22"/>
        <v>0</v>
      </c>
      <c r="J415" s="541"/>
      <c r="K415" s="561"/>
      <c r="L415" s="545"/>
      <c r="M415" s="561"/>
      <c r="N415" s="545"/>
      <c r="O415" s="545"/>
    </row>
    <row r="416" spans="3:15">
      <c r="C416" s="537">
        <f>IF(D363="","-",+C415+1)</f>
        <v>2061</v>
      </c>
      <c r="D416" s="495">
        <f t="shared" si="18"/>
        <v>0</v>
      </c>
      <c r="E416" s="538">
        <f t="shared" si="23"/>
        <v>0</v>
      </c>
      <c r="F416" s="495">
        <f t="shared" si="19"/>
        <v>0</v>
      </c>
      <c r="G416" s="543">
        <f t="shared" si="20"/>
        <v>0</v>
      </c>
      <c r="H416" s="544">
        <f t="shared" si="21"/>
        <v>0</v>
      </c>
      <c r="I416" s="541">
        <f t="shared" si="22"/>
        <v>0</v>
      </c>
      <c r="J416" s="541"/>
      <c r="K416" s="561"/>
      <c r="L416" s="545"/>
      <c r="M416" s="561"/>
      <c r="N416" s="545"/>
      <c r="O416" s="545"/>
    </row>
    <row r="417" spans="3:15">
      <c r="C417" s="537">
        <f>IF(D363="","-",+C416+1)</f>
        <v>2062</v>
      </c>
      <c r="D417" s="495">
        <f t="shared" si="18"/>
        <v>0</v>
      </c>
      <c r="E417" s="538">
        <f t="shared" si="23"/>
        <v>0</v>
      </c>
      <c r="F417" s="495">
        <f t="shared" si="19"/>
        <v>0</v>
      </c>
      <c r="G417" s="543">
        <f t="shared" si="20"/>
        <v>0</v>
      </c>
      <c r="H417" s="544">
        <f t="shared" si="21"/>
        <v>0</v>
      </c>
      <c r="I417" s="541">
        <f t="shared" si="22"/>
        <v>0</v>
      </c>
      <c r="J417" s="541"/>
      <c r="K417" s="561"/>
      <c r="L417" s="545"/>
      <c r="M417" s="561"/>
      <c r="N417" s="545"/>
      <c r="O417" s="545"/>
    </row>
    <row r="418" spans="3:15">
      <c r="C418" s="537">
        <f>IF(D363="","-",+C417+1)</f>
        <v>2063</v>
      </c>
      <c r="D418" s="495">
        <f t="shared" si="18"/>
        <v>0</v>
      </c>
      <c r="E418" s="538">
        <f t="shared" si="23"/>
        <v>0</v>
      </c>
      <c r="F418" s="495">
        <f t="shared" si="19"/>
        <v>0</v>
      </c>
      <c r="G418" s="543">
        <f t="shared" si="20"/>
        <v>0</v>
      </c>
      <c r="H418" s="544">
        <f t="shared" si="21"/>
        <v>0</v>
      </c>
      <c r="I418" s="541">
        <f t="shared" si="22"/>
        <v>0</v>
      </c>
      <c r="J418" s="541"/>
      <c r="K418" s="561"/>
      <c r="L418" s="545"/>
      <c r="M418" s="561"/>
      <c r="N418" s="545"/>
      <c r="O418" s="545"/>
    </row>
    <row r="419" spans="3:15">
      <c r="C419" s="537">
        <f>IF(D363="","-",+C418+1)</f>
        <v>2064</v>
      </c>
      <c r="D419" s="495">
        <f t="shared" si="18"/>
        <v>0</v>
      </c>
      <c r="E419" s="538">
        <f t="shared" si="23"/>
        <v>0</v>
      </c>
      <c r="F419" s="495">
        <f t="shared" si="19"/>
        <v>0</v>
      </c>
      <c r="G419" s="543">
        <f t="shared" si="20"/>
        <v>0</v>
      </c>
      <c r="H419" s="544">
        <f t="shared" si="21"/>
        <v>0</v>
      </c>
      <c r="I419" s="541">
        <f t="shared" si="22"/>
        <v>0</v>
      </c>
      <c r="J419" s="541"/>
      <c r="K419" s="561"/>
      <c r="L419" s="545"/>
      <c r="M419" s="561"/>
      <c r="N419" s="545"/>
      <c r="O419" s="545"/>
    </row>
    <row r="420" spans="3:15">
      <c r="C420" s="537">
        <f>IF(D363="","-",+C419+1)</f>
        <v>2065</v>
      </c>
      <c r="D420" s="495">
        <f t="shared" si="18"/>
        <v>0</v>
      </c>
      <c r="E420" s="538">
        <f t="shared" si="23"/>
        <v>0</v>
      </c>
      <c r="F420" s="495">
        <f t="shared" si="19"/>
        <v>0</v>
      </c>
      <c r="G420" s="543">
        <f t="shared" si="20"/>
        <v>0</v>
      </c>
      <c r="H420" s="544">
        <f t="shared" si="21"/>
        <v>0</v>
      </c>
      <c r="I420" s="541">
        <f t="shared" si="22"/>
        <v>0</v>
      </c>
      <c r="J420" s="541"/>
      <c r="K420" s="561"/>
      <c r="L420" s="545"/>
      <c r="M420" s="561"/>
      <c r="N420" s="545"/>
      <c r="O420" s="545"/>
    </row>
    <row r="421" spans="3:15">
      <c r="C421" s="537">
        <f>IF(D363="","-",+C420+1)</f>
        <v>2066</v>
      </c>
      <c r="D421" s="495">
        <f t="shared" si="18"/>
        <v>0</v>
      </c>
      <c r="E421" s="538">
        <f t="shared" si="23"/>
        <v>0</v>
      </c>
      <c r="F421" s="495">
        <f t="shared" si="19"/>
        <v>0</v>
      </c>
      <c r="G421" s="543">
        <f t="shared" si="20"/>
        <v>0</v>
      </c>
      <c r="H421" s="544">
        <f t="shared" si="21"/>
        <v>0</v>
      </c>
      <c r="I421" s="541">
        <f t="shared" si="22"/>
        <v>0</v>
      </c>
      <c r="J421" s="541"/>
      <c r="K421" s="561"/>
      <c r="L421" s="545"/>
      <c r="M421" s="561"/>
      <c r="N421" s="545"/>
      <c r="O421" s="545"/>
    </row>
    <row r="422" spans="3:15">
      <c r="C422" s="537">
        <f>IF(D363="","-",+C421+1)</f>
        <v>2067</v>
      </c>
      <c r="D422" s="495">
        <f t="shared" si="18"/>
        <v>0</v>
      </c>
      <c r="E422" s="538">
        <f t="shared" si="23"/>
        <v>0</v>
      </c>
      <c r="F422" s="495">
        <f t="shared" si="19"/>
        <v>0</v>
      </c>
      <c r="G422" s="543">
        <f t="shared" si="20"/>
        <v>0</v>
      </c>
      <c r="H422" s="544">
        <f t="shared" si="21"/>
        <v>0</v>
      </c>
      <c r="I422" s="541">
        <f t="shared" si="22"/>
        <v>0</v>
      </c>
      <c r="J422" s="541"/>
      <c r="K422" s="561"/>
      <c r="L422" s="545"/>
      <c r="M422" s="561"/>
      <c r="N422" s="545"/>
      <c r="O422" s="545"/>
    </row>
    <row r="423" spans="3:15">
      <c r="C423" s="537">
        <f>IF(D363="","-",+C422+1)</f>
        <v>2068</v>
      </c>
      <c r="D423" s="495">
        <f t="shared" si="18"/>
        <v>0</v>
      </c>
      <c r="E423" s="538">
        <f t="shared" si="23"/>
        <v>0</v>
      </c>
      <c r="F423" s="495">
        <f t="shared" si="19"/>
        <v>0</v>
      </c>
      <c r="G423" s="543">
        <f t="shared" si="20"/>
        <v>0</v>
      </c>
      <c r="H423" s="544">
        <f t="shared" si="21"/>
        <v>0</v>
      </c>
      <c r="I423" s="541">
        <f t="shared" si="22"/>
        <v>0</v>
      </c>
      <c r="J423" s="541"/>
      <c r="K423" s="561"/>
      <c r="L423" s="545"/>
      <c r="M423" s="561"/>
      <c r="N423" s="545"/>
      <c r="O423" s="545"/>
    </row>
    <row r="424" spans="3:15">
      <c r="C424" s="537">
        <f>IF(D363="","-",+C423+1)</f>
        <v>2069</v>
      </c>
      <c r="D424" s="495">
        <f t="shared" si="18"/>
        <v>0</v>
      </c>
      <c r="E424" s="538">
        <f t="shared" si="23"/>
        <v>0</v>
      </c>
      <c r="F424" s="495">
        <f t="shared" si="19"/>
        <v>0</v>
      </c>
      <c r="G424" s="543">
        <f t="shared" si="20"/>
        <v>0</v>
      </c>
      <c r="H424" s="544">
        <f t="shared" si="21"/>
        <v>0</v>
      </c>
      <c r="I424" s="541">
        <f t="shared" si="22"/>
        <v>0</v>
      </c>
      <c r="J424" s="541"/>
      <c r="K424" s="561"/>
      <c r="L424" s="545"/>
      <c r="M424" s="561"/>
      <c r="N424" s="545"/>
      <c r="O424" s="545"/>
    </row>
    <row r="425" spans="3:15">
      <c r="C425" s="537">
        <f>IF(D363="","-",+C424+1)</f>
        <v>2070</v>
      </c>
      <c r="D425" s="495">
        <f t="shared" si="18"/>
        <v>0</v>
      </c>
      <c r="E425" s="538">
        <f t="shared" si="23"/>
        <v>0</v>
      </c>
      <c r="F425" s="495">
        <f t="shared" si="19"/>
        <v>0</v>
      </c>
      <c r="G425" s="543">
        <f t="shared" si="20"/>
        <v>0</v>
      </c>
      <c r="H425" s="544">
        <f t="shared" si="21"/>
        <v>0</v>
      </c>
      <c r="I425" s="541">
        <f t="shared" si="22"/>
        <v>0</v>
      </c>
      <c r="J425" s="541"/>
      <c r="K425" s="561"/>
      <c r="L425" s="545"/>
      <c r="M425" s="561"/>
      <c r="N425" s="545"/>
      <c r="O425" s="545"/>
    </row>
    <row r="426" spans="3:15">
      <c r="C426" s="537">
        <f>IF(D363="","-",+C425+1)</f>
        <v>2071</v>
      </c>
      <c r="D426" s="495">
        <f t="shared" si="18"/>
        <v>0</v>
      </c>
      <c r="E426" s="538">
        <f t="shared" si="23"/>
        <v>0</v>
      </c>
      <c r="F426" s="495">
        <f t="shared" si="19"/>
        <v>0</v>
      </c>
      <c r="G426" s="543">
        <f t="shared" si="20"/>
        <v>0</v>
      </c>
      <c r="H426" s="544">
        <f t="shared" si="21"/>
        <v>0</v>
      </c>
      <c r="I426" s="541">
        <f t="shared" si="22"/>
        <v>0</v>
      </c>
      <c r="J426" s="541"/>
      <c r="K426" s="561"/>
      <c r="L426" s="545"/>
      <c r="M426" s="561"/>
      <c r="N426" s="545"/>
      <c r="O426" s="545"/>
    </row>
    <row r="427" spans="3:15">
      <c r="C427" s="537">
        <f>IF(D363="","-",+C426+1)</f>
        <v>2072</v>
      </c>
      <c r="D427" s="495">
        <f t="shared" si="18"/>
        <v>0</v>
      </c>
      <c r="E427" s="538">
        <f t="shared" si="23"/>
        <v>0</v>
      </c>
      <c r="F427" s="495">
        <f t="shared" si="19"/>
        <v>0</v>
      </c>
      <c r="G427" s="543">
        <f t="shared" si="20"/>
        <v>0</v>
      </c>
      <c r="H427" s="544">
        <f t="shared" si="21"/>
        <v>0</v>
      </c>
      <c r="I427" s="541">
        <f t="shared" si="22"/>
        <v>0</v>
      </c>
      <c r="J427" s="541"/>
      <c r="K427" s="561"/>
      <c r="L427" s="545"/>
      <c r="M427" s="561"/>
      <c r="N427" s="545"/>
      <c r="O427" s="545"/>
    </row>
    <row r="428" spans="3:15" ht="13.5" thickBot="1">
      <c r="C428" s="547">
        <f>IF(D363="","-",+C427+1)</f>
        <v>2073</v>
      </c>
      <c r="D428" s="548">
        <f t="shared" si="18"/>
        <v>0</v>
      </c>
      <c r="E428" s="549">
        <f t="shared" si="23"/>
        <v>0</v>
      </c>
      <c r="F428" s="548">
        <f t="shared" si="19"/>
        <v>0</v>
      </c>
      <c r="G428" s="550">
        <f t="shared" si="20"/>
        <v>0</v>
      </c>
      <c r="H428" s="550">
        <f t="shared" si="21"/>
        <v>0</v>
      </c>
      <c r="I428" s="551">
        <f t="shared" si="22"/>
        <v>0</v>
      </c>
      <c r="J428" s="541"/>
      <c r="K428" s="562"/>
      <c r="L428" s="552"/>
      <c r="M428" s="562"/>
      <c r="N428" s="552"/>
      <c r="O428" s="552"/>
    </row>
    <row r="429" spans="3:15">
      <c r="C429" s="495" t="s">
        <v>91</v>
      </c>
      <c r="D429" s="492"/>
      <c r="E429" s="492">
        <f>SUM(E369:E428)</f>
        <v>60573765.779999994</v>
      </c>
      <c r="F429" s="492"/>
      <c r="G429" s="492">
        <f>SUM(G369:G428)</f>
        <v>188245546.33027151</v>
      </c>
      <c r="H429" s="492">
        <f>SUM(H369:H428)</f>
        <v>188245546.33027151</v>
      </c>
      <c r="I429" s="492">
        <f>SUM(I369:I428)</f>
        <v>0</v>
      </c>
      <c r="J429" s="492"/>
      <c r="K429" s="492"/>
      <c r="L429" s="492"/>
      <c r="M429" s="492"/>
      <c r="N429" s="492"/>
      <c r="O429" s="3"/>
    </row>
    <row r="430" spans="3:15">
      <c r="D430" s="47"/>
      <c r="E430" s="3"/>
      <c r="F430" s="3"/>
      <c r="G430" s="3"/>
      <c r="H430" s="479"/>
      <c r="I430" s="479"/>
      <c r="J430" s="492"/>
      <c r="K430" s="479"/>
      <c r="L430" s="479"/>
      <c r="M430" s="479"/>
      <c r="N430" s="479"/>
      <c r="O430" s="3"/>
    </row>
    <row r="431" spans="3:15">
      <c r="C431" s="3" t="s">
        <v>13</v>
      </c>
      <c r="D431" s="47"/>
      <c r="E431" s="3"/>
      <c r="F431" s="3"/>
      <c r="G431" s="3"/>
      <c r="H431" s="479"/>
      <c r="I431" s="479"/>
      <c r="J431" s="492"/>
      <c r="K431" s="479"/>
      <c r="L431" s="479"/>
      <c r="M431" s="479"/>
      <c r="N431" s="479"/>
      <c r="O431" s="3"/>
    </row>
    <row r="432" spans="3:15">
      <c r="C432" s="3"/>
      <c r="D432" s="47"/>
      <c r="E432" s="3"/>
      <c r="F432" s="3"/>
      <c r="G432" s="3"/>
      <c r="H432" s="479"/>
      <c r="I432" s="479"/>
      <c r="J432" s="492"/>
      <c r="K432" s="479"/>
      <c r="L432" s="479"/>
      <c r="M432" s="479"/>
      <c r="N432" s="479"/>
      <c r="O432" s="3"/>
    </row>
    <row r="433" spans="1:16">
      <c r="C433" s="507" t="s">
        <v>14</v>
      </c>
      <c r="D433" s="495"/>
      <c r="E433" s="495"/>
      <c r="F433" s="495"/>
      <c r="G433" s="492"/>
      <c r="H433" s="492"/>
      <c r="I433" s="553"/>
      <c r="J433" s="553"/>
      <c r="K433" s="553"/>
      <c r="L433" s="553"/>
      <c r="M433" s="553"/>
      <c r="N433" s="553"/>
      <c r="O433" s="3"/>
    </row>
    <row r="434" spans="1:16">
      <c r="C434" s="496" t="s">
        <v>271</v>
      </c>
      <c r="D434" s="495"/>
      <c r="E434" s="495"/>
      <c r="F434" s="495"/>
      <c r="G434" s="492"/>
      <c r="H434" s="492"/>
      <c r="I434" s="553"/>
      <c r="J434" s="553"/>
      <c r="K434" s="553"/>
      <c r="L434" s="553"/>
      <c r="M434" s="553"/>
      <c r="N434" s="553"/>
      <c r="O434" s="3"/>
    </row>
    <row r="435" spans="1:16">
      <c r="C435" s="496" t="s">
        <v>92</v>
      </c>
      <c r="D435" s="495"/>
      <c r="E435" s="495"/>
      <c r="F435" s="495"/>
      <c r="G435" s="492"/>
      <c r="H435" s="492"/>
      <c r="I435" s="553"/>
      <c r="J435" s="553"/>
      <c r="K435" s="553"/>
      <c r="L435" s="553"/>
      <c r="M435" s="553"/>
      <c r="N435" s="553"/>
      <c r="O435" s="3"/>
    </row>
    <row r="436" spans="1:16">
      <c r="C436" s="496"/>
      <c r="D436" s="495"/>
      <c r="E436" s="495"/>
      <c r="F436" s="495"/>
      <c r="G436" s="492"/>
      <c r="H436" s="492"/>
      <c r="I436" s="553"/>
      <c r="J436" s="553"/>
      <c r="K436" s="553"/>
      <c r="L436" s="553"/>
      <c r="M436" s="553"/>
      <c r="N436" s="553"/>
      <c r="O436" s="3"/>
    </row>
    <row r="437" spans="1:16">
      <c r="C437" s="1185" t="s">
        <v>6</v>
      </c>
      <c r="D437" s="1185"/>
      <c r="E437" s="1185"/>
      <c r="F437" s="1185"/>
      <c r="G437" s="1185"/>
      <c r="H437" s="1185"/>
      <c r="I437" s="1185"/>
      <c r="J437" s="1185"/>
      <c r="K437" s="1185"/>
      <c r="L437" s="1185"/>
      <c r="M437" s="1185"/>
      <c r="N437" s="1185"/>
      <c r="O437" s="1185"/>
    </row>
    <row r="438" spans="1:16">
      <c r="C438" s="1185"/>
      <c r="D438" s="1185"/>
      <c r="E438" s="1185"/>
      <c r="F438" s="1185"/>
      <c r="G438" s="1185"/>
      <c r="H438" s="1185"/>
      <c r="I438" s="1185"/>
      <c r="J438" s="1185"/>
      <c r="K438" s="1185"/>
      <c r="L438" s="1185"/>
      <c r="M438" s="1185"/>
      <c r="N438" s="1185"/>
      <c r="O438" s="1185"/>
    </row>
    <row r="439" spans="1:16">
      <c r="B439" s="3"/>
      <c r="C439" s="3"/>
      <c r="D439" s="47"/>
      <c r="E439" s="3"/>
      <c r="F439" s="3"/>
      <c r="G439" s="3"/>
      <c r="H439" s="479"/>
      <c r="I439" s="3"/>
      <c r="J439" s="3"/>
      <c r="K439" s="3"/>
      <c r="L439" s="3"/>
      <c r="M439" s="3"/>
      <c r="N439" s="3"/>
      <c r="O439" s="3"/>
    </row>
    <row r="440" spans="1:16" ht="20.25">
      <c r="A440" s="436" t="str">
        <f>""&amp;A364&amp;" Worksheet J -  ATRR PROJECTED Calculation for PJM Projects Charged to Benefiting Zones"</f>
        <v xml:space="preserve"> Worksheet J -  ATRR PROJECTED Calculation for PJM Projects Charged to Benefiting Zones</v>
      </c>
      <c r="B440" s="3"/>
      <c r="C440" s="3"/>
      <c r="D440" s="47"/>
      <c r="E440" s="3"/>
      <c r="F440" s="478"/>
      <c r="G440" s="3"/>
      <c r="H440" s="479"/>
      <c r="K440" s="387"/>
      <c r="L440" s="387"/>
      <c r="M440" s="387"/>
      <c r="N440" s="387" t="str">
        <f>"Page "&amp;SUM(P$8:P440)&amp;" of "</f>
        <v xml:space="preserve">Page 6 of </v>
      </c>
      <c r="O440" s="437">
        <f>COUNT(P$8:P$56562)</f>
        <v>12</v>
      </c>
      <c r="P440">
        <v>1</v>
      </c>
    </row>
    <row r="441" spans="1:16" ht="20.25">
      <c r="A441" s="436"/>
      <c r="B441" s="3"/>
      <c r="C441" s="3"/>
      <c r="D441" s="47"/>
      <c r="E441" s="3"/>
      <c r="F441" s="478"/>
      <c r="G441" s="3"/>
      <c r="H441" s="479"/>
      <c r="K441" s="387"/>
      <c r="L441" s="387"/>
      <c r="M441" s="387"/>
      <c r="N441" s="387"/>
      <c r="O441" s="437"/>
    </row>
    <row r="442" spans="1:16" ht="18">
      <c r="B442" s="438" t="s">
        <v>472</v>
      </c>
      <c r="C442" s="119" t="s">
        <v>93</v>
      </c>
      <c r="D442" s="47"/>
      <c r="E442" s="3"/>
      <c r="F442" s="3"/>
      <c r="G442" s="3"/>
      <c r="H442" s="479"/>
      <c r="I442" s="479"/>
      <c r="J442" s="492"/>
      <c r="K442" s="479"/>
      <c r="L442" s="479"/>
      <c r="M442" s="479"/>
      <c r="N442" s="479"/>
      <c r="O442" s="3"/>
    </row>
    <row r="443" spans="1:16" ht="18.75">
      <c r="B443" s="438"/>
      <c r="C443" s="6"/>
      <c r="D443" s="47"/>
      <c r="E443" s="3"/>
      <c r="F443" s="3"/>
      <c r="G443" s="3"/>
      <c r="H443" s="479"/>
      <c r="I443" s="479"/>
      <c r="J443" s="492"/>
      <c r="K443" s="479"/>
      <c r="L443" s="479"/>
      <c r="M443" s="479"/>
      <c r="N443" s="479"/>
      <c r="O443" s="3"/>
    </row>
    <row r="444" spans="1:16" ht="18.75">
      <c r="B444" s="438"/>
      <c r="C444" s="6" t="s">
        <v>94</v>
      </c>
      <c r="D444" s="47"/>
      <c r="E444" s="3"/>
      <c r="F444" s="3"/>
      <c r="G444" s="3"/>
      <c r="H444" s="479"/>
      <c r="I444" s="479"/>
      <c r="J444" s="492"/>
      <c r="K444" s="479"/>
      <c r="L444" s="479"/>
      <c r="M444" s="479"/>
      <c r="N444" s="479"/>
      <c r="O444" s="3"/>
    </row>
    <row r="445" spans="1:16" ht="15.75" thickBot="1">
      <c r="C445" s="128"/>
      <c r="D445" s="47"/>
      <c r="E445" s="3"/>
      <c r="F445" s="3"/>
      <c r="G445" s="3"/>
      <c r="H445" s="479"/>
      <c r="I445" s="479"/>
      <c r="J445" s="492"/>
      <c r="K445" s="479"/>
      <c r="L445" s="479"/>
      <c r="M445" s="479"/>
      <c r="N445" s="479"/>
      <c r="O445" s="3"/>
    </row>
    <row r="446" spans="1:16" ht="15.75">
      <c r="C446" s="440" t="s">
        <v>95</v>
      </c>
      <c r="D446" s="47"/>
      <c r="E446" s="3"/>
      <c r="F446" s="3"/>
      <c r="G446" s="555"/>
      <c r="H446" s="3" t="s">
        <v>74</v>
      </c>
      <c r="I446" s="3"/>
      <c r="J446" s="3"/>
      <c r="K446" s="498" t="s">
        <v>99</v>
      </c>
      <c r="L446" s="499"/>
      <c r="M446" s="500"/>
      <c r="N446" s="501">
        <f>IF(I452=0,0,VLOOKUP(I452,C459:O518,5))</f>
        <v>10766311.751756538</v>
      </c>
      <c r="O446" s="3"/>
    </row>
    <row r="447" spans="1:16" ht="15.75">
      <c r="C447" s="440"/>
      <c r="D447" s="47"/>
      <c r="E447" s="3"/>
      <c r="F447" s="3"/>
      <c r="G447" s="3"/>
      <c r="H447" s="502"/>
      <c r="I447" s="502"/>
      <c r="J447" s="503"/>
      <c r="K447" s="504" t="s">
        <v>100</v>
      </c>
      <c r="L447" s="505"/>
      <c r="M447" s="3"/>
      <c r="N447" s="506">
        <f>IF(I452=0,0,VLOOKUP(I452,C459:O518,6))</f>
        <v>10766311.751756538</v>
      </c>
      <c r="O447" s="3"/>
    </row>
    <row r="448" spans="1:16" ht="13.5" thickBot="1">
      <c r="C448" s="507" t="s">
        <v>96</v>
      </c>
      <c r="D448" s="1196" t="s">
        <v>817</v>
      </c>
      <c r="E448" s="1196"/>
      <c r="F448" s="1196"/>
      <c r="G448" s="1196"/>
      <c r="H448" s="1196"/>
      <c r="I448" s="1196"/>
      <c r="J448" s="492"/>
      <c r="K448" s="508" t="s">
        <v>238</v>
      </c>
      <c r="L448" s="509"/>
      <c r="M448" s="509"/>
      <c r="N448" s="510">
        <f>+N447-N446</f>
        <v>0</v>
      </c>
      <c r="O448" s="3"/>
    </row>
    <row r="449" spans="2:15">
      <c r="C449" s="511"/>
      <c r="D449" s="1196"/>
      <c r="E449" s="1196"/>
      <c r="F449" s="1196"/>
      <c r="G449" s="1196"/>
      <c r="H449" s="1196"/>
      <c r="I449" s="1196"/>
      <c r="J449" s="492"/>
      <c r="K449" s="479"/>
      <c r="L449" s="479"/>
      <c r="M449" s="479"/>
      <c r="N449" s="479"/>
      <c r="O449" s="3"/>
    </row>
    <row r="450" spans="2:15" ht="13.5" thickBot="1">
      <c r="C450" s="511"/>
      <c r="D450" s="3"/>
      <c r="E450" s="513"/>
      <c r="F450" s="513"/>
      <c r="G450" s="513"/>
      <c r="H450" s="513"/>
      <c r="I450" s="513"/>
      <c r="J450" s="513"/>
      <c r="K450" s="513"/>
      <c r="L450" s="513"/>
      <c r="M450" s="513"/>
      <c r="N450" s="513"/>
      <c r="O450" s="3"/>
    </row>
    <row r="451" spans="2:15" ht="13.5" thickBot="1">
      <c r="C451" s="514" t="s">
        <v>97</v>
      </c>
      <c r="D451" s="515"/>
      <c r="E451" s="515"/>
      <c r="F451" s="515"/>
      <c r="G451" s="515"/>
      <c r="H451" s="515"/>
      <c r="I451" s="516"/>
      <c r="K451" s="3"/>
      <c r="L451" s="3"/>
      <c r="M451" s="3"/>
      <c r="N451" s="3"/>
      <c r="O451" s="3"/>
    </row>
    <row r="452" spans="2:15" ht="15">
      <c r="C452" s="517" t="s">
        <v>75</v>
      </c>
      <c r="D452" s="557">
        <v>99133366.299999997</v>
      </c>
      <c r="E452" s="3" t="s">
        <v>76</v>
      </c>
      <c r="G452" s="47"/>
      <c r="H452" s="47"/>
      <c r="I452" s="518">
        <f>$L$26</f>
        <v>2026</v>
      </c>
      <c r="J452" s="70"/>
      <c r="K452" s="1186" t="s">
        <v>247</v>
      </c>
      <c r="L452" s="1186"/>
      <c r="M452" s="1186"/>
      <c r="N452" s="1186"/>
      <c r="O452" s="1186"/>
    </row>
    <row r="453" spans="2:15">
      <c r="C453" s="517" t="s">
        <v>78</v>
      </c>
      <c r="D453" s="558">
        <v>2016</v>
      </c>
      <c r="E453" s="517" t="s">
        <v>79</v>
      </c>
      <c r="F453" s="47"/>
      <c r="H453"/>
      <c r="I453" s="559">
        <f>IF(G446="",0,$F$17)</f>
        <v>0</v>
      </c>
      <c r="J453" s="519"/>
      <c r="K453" s="492" t="s">
        <v>247</v>
      </c>
    </row>
    <row r="454" spans="2:15">
      <c r="C454" s="517" t="s">
        <v>80</v>
      </c>
      <c r="D454" s="557">
        <v>6</v>
      </c>
      <c r="E454" s="517" t="s">
        <v>81</v>
      </c>
      <c r="F454" s="47"/>
      <c r="H454"/>
      <c r="I454" s="520">
        <f>$G$70</f>
        <v>0.11191367266500543</v>
      </c>
      <c r="J454" s="478"/>
      <c r="K454" t="str">
        <f>"          INPUT PROJECTED ARR (WITH &amp; WITHOUT INCENTIVES) FROM EACH PRIOR YEAR"</f>
        <v xml:space="preserve">          INPUT PROJECTED ARR (WITH &amp; WITHOUT INCENTIVES) FROM EACH PRIOR YEAR</v>
      </c>
    </row>
    <row r="455" spans="2:15">
      <c r="C455" s="517" t="s">
        <v>82</v>
      </c>
      <c r="D455" s="521">
        <f>$G$79</f>
        <v>36</v>
      </c>
      <c r="E455" s="517" t="s">
        <v>83</v>
      </c>
      <c r="F455" s="47"/>
      <c r="H455"/>
      <c r="I455" s="520">
        <f>IF(G446="",I454,$G$69)</f>
        <v>0.11191367266500543</v>
      </c>
      <c r="J455" s="478"/>
      <c r="K455" t="s">
        <v>160</v>
      </c>
    </row>
    <row r="456" spans="2:15" ht="13.5" thickBot="1">
      <c r="C456" s="517" t="s">
        <v>84</v>
      </c>
      <c r="D456" s="556" t="s">
        <v>810</v>
      </c>
      <c r="E456" s="522" t="s">
        <v>85</v>
      </c>
      <c r="F456" s="523"/>
      <c r="G456" s="524"/>
      <c r="H456" s="524"/>
      <c r="I456" s="510">
        <f>IF(D452=0,0,D452/D455)</f>
        <v>2753704.6194444443</v>
      </c>
      <c r="J456" s="492"/>
      <c r="K456" s="492" t="s">
        <v>166</v>
      </c>
      <c r="L456" s="492"/>
      <c r="M456" s="492"/>
      <c r="N456" s="492"/>
      <c r="O456" s="3"/>
    </row>
    <row r="457" spans="2:15" ht="51">
      <c r="B457" s="439"/>
      <c r="C457" s="525" t="s">
        <v>75</v>
      </c>
      <c r="D457" s="526" t="s">
        <v>86</v>
      </c>
      <c r="E457" s="527" t="s">
        <v>87</v>
      </c>
      <c r="F457" s="526" t="s">
        <v>88</v>
      </c>
      <c r="G457" s="527" t="s">
        <v>159</v>
      </c>
      <c r="H457" s="528" t="s">
        <v>159</v>
      </c>
      <c r="I457" s="525" t="s">
        <v>98</v>
      </c>
      <c r="J457" s="529"/>
      <c r="K457" s="527" t="s">
        <v>168</v>
      </c>
      <c r="L457" s="530"/>
      <c r="M457" s="527" t="s">
        <v>168</v>
      </c>
      <c r="N457" s="530"/>
      <c r="O457" s="530"/>
    </row>
    <row r="458" spans="2:15" ht="13.5" thickBot="1">
      <c r="C458" s="531" t="s">
        <v>475</v>
      </c>
      <c r="D458" s="532" t="s">
        <v>476</v>
      </c>
      <c r="E458" s="531" t="s">
        <v>369</v>
      </c>
      <c r="F458" s="532" t="s">
        <v>476</v>
      </c>
      <c r="G458" s="533" t="s">
        <v>101</v>
      </c>
      <c r="H458" s="534" t="s">
        <v>103</v>
      </c>
      <c r="I458" s="531" t="s">
        <v>15</v>
      </c>
      <c r="J458" s="535"/>
      <c r="K458" s="533" t="s">
        <v>90</v>
      </c>
      <c r="L458" s="536"/>
      <c r="M458" s="533" t="s">
        <v>103</v>
      </c>
      <c r="N458" s="536"/>
      <c r="O458" s="536"/>
    </row>
    <row r="459" spans="2:15">
      <c r="C459" s="537">
        <f>IF(D453= "","-",D453)</f>
        <v>2016</v>
      </c>
      <c r="D459" s="495">
        <f>+D452</f>
        <v>99133366.299999997</v>
      </c>
      <c r="E459" s="538">
        <f>+I456/12*(12-D454)</f>
        <v>1376852.3097222222</v>
      </c>
      <c r="F459" s="495">
        <f>+D459-E459</f>
        <v>97756513.990277782</v>
      </c>
      <c r="G459" s="705">
        <f>+$I$96*((D459+F459)/2)+E459</f>
        <v>12394187.116651349</v>
      </c>
      <c r="H459" s="706">
        <f>$I$97*((D459+F459)/2)+E459</f>
        <v>12394187.116651349</v>
      </c>
      <c r="I459" s="541">
        <f>+H459-G459</f>
        <v>0</v>
      </c>
      <c r="J459" s="541"/>
      <c r="K459" s="560">
        <v>8211582</v>
      </c>
      <c r="L459" s="542"/>
      <c r="M459" s="560">
        <v>8211582</v>
      </c>
      <c r="N459" s="542"/>
      <c r="O459" s="542"/>
    </row>
    <row r="460" spans="2:15">
      <c r="C460" s="537">
        <f>IF(D453="","-",+C459+1)</f>
        <v>2017</v>
      </c>
      <c r="D460" s="495">
        <f t="shared" ref="D460:D518" si="24">F459</f>
        <v>97756513.990277782</v>
      </c>
      <c r="E460" s="538">
        <f>IF(D460&gt;$I$456,$I$456,D460)</f>
        <v>2753704.6194444443</v>
      </c>
      <c r="F460" s="495">
        <f t="shared" ref="F460:F518" si="25">+D460-E460</f>
        <v>95002809.370833337</v>
      </c>
      <c r="G460" s="543">
        <f t="shared" ref="G460:G518" si="26">+$I$96*((D460+F460)/2)+E460</f>
        <v>13539906.528326105</v>
      </c>
      <c r="H460" s="544">
        <f t="shared" ref="H460:H518" si="27">$I$97*((D460+F460)/2)+E460</f>
        <v>13539906.528326105</v>
      </c>
      <c r="I460" s="541">
        <f t="shared" ref="I460:I518" si="28">+H460-G460</f>
        <v>0</v>
      </c>
      <c r="J460" s="541"/>
      <c r="K460" s="561">
        <v>9400319</v>
      </c>
      <c r="L460" s="545"/>
      <c r="M460" s="561">
        <v>9400319</v>
      </c>
      <c r="N460" s="545"/>
      <c r="O460" s="545"/>
    </row>
    <row r="461" spans="2:15">
      <c r="C461" s="943">
        <f>IF(D453="","-",+C460+1)</f>
        <v>2018</v>
      </c>
      <c r="D461" s="495">
        <f t="shared" si="24"/>
        <v>95002809.370833337</v>
      </c>
      <c r="E461" s="538">
        <f t="shared" ref="E461:E518" si="29">IF(D461&gt;$I$456,$I$456,D461)</f>
        <v>2753704.6194444443</v>
      </c>
      <c r="F461" s="495">
        <f t="shared" si="25"/>
        <v>92249104.751388893</v>
      </c>
      <c r="G461" s="543">
        <f t="shared" si="26"/>
        <v>13231729.330929488</v>
      </c>
      <c r="H461" s="544">
        <f t="shared" si="27"/>
        <v>13231729.330929488</v>
      </c>
      <c r="I461" s="541">
        <f t="shared" si="28"/>
        <v>0</v>
      </c>
      <c r="J461" s="541"/>
      <c r="K461" s="561">
        <v>11231831</v>
      </c>
      <c r="L461" s="545"/>
      <c r="M461" s="561">
        <v>11231831</v>
      </c>
      <c r="N461" s="545"/>
      <c r="O461" s="545"/>
    </row>
    <row r="462" spans="2:15">
      <c r="C462" s="943">
        <f>IF(D453="","-",+C461+1)</f>
        <v>2019</v>
      </c>
      <c r="D462" s="495">
        <f t="shared" si="24"/>
        <v>92249104.751388893</v>
      </c>
      <c r="E462" s="538">
        <f t="shared" si="29"/>
        <v>2753704.6194444443</v>
      </c>
      <c r="F462" s="495">
        <f t="shared" si="25"/>
        <v>89495400.131944448</v>
      </c>
      <c r="G462" s="543">
        <f t="shared" si="26"/>
        <v>12923552.133532869</v>
      </c>
      <c r="H462" s="544">
        <f t="shared" si="27"/>
        <v>12923552.133532869</v>
      </c>
      <c r="I462" s="541">
        <f t="shared" si="28"/>
        <v>0</v>
      </c>
      <c r="J462" s="541"/>
      <c r="K462" s="561">
        <v>11864824.529230755</v>
      </c>
      <c r="L462" s="545"/>
      <c r="M462" s="561">
        <v>11864824.529230755</v>
      </c>
      <c r="N462" s="545"/>
      <c r="O462" s="545"/>
    </row>
    <row r="463" spans="2:15">
      <c r="C463" s="943">
        <f>IF(D453="","-",+C462+1)</f>
        <v>2020</v>
      </c>
      <c r="D463" s="495">
        <f t="shared" si="24"/>
        <v>89495400.131944448</v>
      </c>
      <c r="E463" s="538">
        <f t="shared" si="29"/>
        <v>2753704.6194444443</v>
      </c>
      <c r="F463" s="495">
        <f t="shared" si="25"/>
        <v>86741695.512500003</v>
      </c>
      <c r="G463" s="543">
        <f t="shared" si="26"/>
        <v>12615374.936136251</v>
      </c>
      <c r="H463" s="544">
        <f t="shared" si="27"/>
        <v>12615374.936136251</v>
      </c>
      <c r="I463" s="541">
        <f t="shared" si="28"/>
        <v>0</v>
      </c>
      <c r="J463" s="541"/>
      <c r="K463" s="561">
        <v>12033066.013124375</v>
      </c>
      <c r="L463" s="545"/>
      <c r="M463" s="561">
        <v>12033066.013124375</v>
      </c>
      <c r="N463" s="545"/>
      <c r="O463" s="545"/>
    </row>
    <row r="464" spans="2:15">
      <c r="C464" s="943">
        <f>IF(D453="","-",+C463+1)</f>
        <v>2021</v>
      </c>
      <c r="D464" s="495">
        <f t="shared" si="24"/>
        <v>86741695.512500003</v>
      </c>
      <c r="E464" s="538">
        <f t="shared" si="29"/>
        <v>2753704.6194444443</v>
      </c>
      <c r="F464" s="495">
        <f t="shared" si="25"/>
        <v>83987990.893055558</v>
      </c>
      <c r="G464" s="543">
        <f t="shared" si="26"/>
        <v>12307197.73873963</v>
      </c>
      <c r="H464" s="544">
        <f t="shared" si="27"/>
        <v>12307197.73873963</v>
      </c>
      <c r="I464" s="541">
        <f t="shared" si="28"/>
        <v>0</v>
      </c>
      <c r="J464" s="541"/>
      <c r="K464" s="561">
        <v>11936440.649508858</v>
      </c>
      <c r="L464" s="545"/>
      <c r="M464" s="561">
        <v>11936440.649508858</v>
      </c>
      <c r="N464" s="545"/>
      <c r="O464" s="545"/>
    </row>
    <row r="465" spans="3:15">
      <c r="C465" s="943">
        <f>IF(D453="","-",+C464+1)</f>
        <v>2022</v>
      </c>
      <c r="D465" s="495">
        <f t="shared" si="24"/>
        <v>83987990.893055558</v>
      </c>
      <c r="E465" s="538">
        <f t="shared" si="29"/>
        <v>2753704.6194444443</v>
      </c>
      <c r="F465" s="495">
        <f t="shared" si="25"/>
        <v>81234286.273611113</v>
      </c>
      <c r="G465" s="543">
        <f t="shared" si="26"/>
        <v>11999020.541343013</v>
      </c>
      <c r="H465" s="544">
        <f t="shared" si="27"/>
        <v>11999020.541343013</v>
      </c>
      <c r="I465" s="541">
        <f t="shared" si="28"/>
        <v>0</v>
      </c>
      <c r="J465" s="541"/>
      <c r="K465" s="561">
        <v>12166987.339047994</v>
      </c>
      <c r="L465" s="545"/>
      <c r="M465" s="561">
        <v>12166987.339047994</v>
      </c>
      <c r="N465" s="545"/>
      <c r="O465" s="545"/>
    </row>
    <row r="466" spans="3:15">
      <c r="C466" s="537">
        <f>IF(D453="","-",+C465+1)</f>
        <v>2023</v>
      </c>
      <c r="D466" s="495">
        <f t="shared" si="24"/>
        <v>81234286.273611113</v>
      </c>
      <c r="E466" s="538">
        <f t="shared" si="29"/>
        <v>2753704.6194444443</v>
      </c>
      <c r="F466" s="495">
        <f t="shared" si="25"/>
        <v>78480581.654166669</v>
      </c>
      <c r="G466" s="543">
        <f t="shared" si="26"/>
        <v>11690843.343946392</v>
      </c>
      <c r="H466" s="544">
        <f t="shared" si="27"/>
        <v>11690843.343946392</v>
      </c>
      <c r="I466" s="541">
        <f t="shared" si="28"/>
        <v>0</v>
      </c>
      <c r="J466" s="541"/>
      <c r="K466" s="561">
        <v>11855170.900451977</v>
      </c>
      <c r="L466" s="545"/>
      <c r="M466" s="561">
        <v>11855170.900451977</v>
      </c>
      <c r="N466" s="545"/>
      <c r="O466" s="545"/>
    </row>
    <row r="467" spans="3:15">
      <c r="C467" s="537">
        <f>IF(D453="","-",+C466+1)</f>
        <v>2024</v>
      </c>
      <c r="D467" s="495">
        <f t="shared" si="24"/>
        <v>78480581.654166669</v>
      </c>
      <c r="E467" s="538">
        <f t="shared" si="29"/>
        <v>2753704.6194444443</v>
      </c>
      <c r="F467" s="495">
        <f t="shared" si="25"/>
        <v>75726877.034722224</v>
      </c>
      <c r="G467" s="543">
        <f t="shared" si="26"/>
        <v>11382666.146549774</v>
      </c>
      <c r="H467" s="544">
        <f t="shared" si="27"/>
        <v>11382666.146549774</v>
      </c>
      <c r="I467" s="541">
        <f t="shared" si="28"/>
        <v>0</v>
      </c>
      <c r="J467" s="541"/>
      <c r="K467" s="561">
        <v>11497036.76439972</v>
      </c>
      <c r="L467" s="545"/>
      <c r="M467" s="561">
        <v>11497036.76439972</v>
      </c>
      <c r="N467" s="545"/>
      <c r="O467" s="545"/>
    </row>
    <row r="468" spans="3:15">
      <c r="C468" s="537">
        <f>IF(D453="","-",+C467+1)</f>
        <v>2025</v>
      </c>
      <c r="D468" s="495">
        <f t="shared" si="24"/>
        <v>75726877.034722224</v>
      </c>
      <c r="E468" s="538">
        <f t="shared" si="29"/>
        <v>2753704.6194444443</v>
      </c>
      <c r="F468" s="495">
        <f t="shared" si="25"/>
        <v>72973172.415277779</v>
      </c>
      <c r="G468" s="543">
        <f t="shared" si="26"/>
        <v>11074488.949153153</v>
      </c>
      <c r="H468" s="544">
        <f t="shared" si="27"/>
        <v>11074488.949153153</v>
      </c>
      <c r="I468" s="541">
        <f t="shared" si="28"/>
        <v>0</v>
      </c>
      <c r="J468" s="541"/>
      <c r="K468" s="561">
        <v>11298340.817354895</v>
      </c>
      <c r="L468" s="545"/>
      <c r="M468" s="561">
        <v>11298340.817354895</v>
      </c>
      <c r="N468" s="545"/>
      <c r="O468" s="545"/>
    </row>
    <row r="469" spans="3:15">
      <c r="C469" s="935">
        <f>IF(D453="","-",+C468+1)</f>
        <v>2026</v>
      </c>
      <c r="D469" s="495">
        <f t="shared" si="24"/>
        <v>72973172.415277779</v>
      </c>
      <c r="E469" s="538">
        <f t="shared" si="29"/>
        <v>2753704.6194444443</v>
      </c>
      <c r="F469" s="495">
        <f t="shared" si="25"/>
        <v>70219467.795833334</v>
      </c>
      <c r="G469" s="543">
        <f t="shared" si="26"/>
        <v>10766311.751756538</v>
      </c>
      <c r="H469" s="544">
        <f t="shared" si="27"/>
        <v>10766311.751756538</v>
      </c>
      <c r="I469" s="541">
        <f t="shared" si="28"/>
        <v>0</v>
      </c>
      <c r="J469" s="541"/>
      <c r="K469" s="561"/>
      <c r="L469" s="545"/>
      <c r="M469" s="561"/>
      <c r="N469" s="545"/>
      <c r="O469" s="545"/>
    </row>
    <row r="470" spans="3:15">
      <c r="C470" s="537">
        <f>IF(D453="","-",+C469+1)</f>
        <v>2027</v>
      </c>
      <c r="D470" s="495">
        <f t="shared" si="24"/>
        <v>70219467.795833334</v>
      </c>
      <c r="E470" s="538">
        <f t="shared" si="29"/>
        <v>2753704.6194444443</v>
      </c>
      <c r="F470" s="495">
        <f t="shared" si="25"/>
        <v>67465763.17638889</v>
      </c>
      <c r="G470" s="543">
        <f t="shared" si="26"/>
        <v>10458134.554359917</v>
      </c>
      <c r="H470" s="544">
        <f t="shared" si="27"/>
        <v>10458134.554359917</v>
      </c>
      <c r="I470" s="541">
        <f t="shared" si="28"/>
        <v>0</v>
      </c>
      <c r="J470" s="541"/>
      <c r="K470" s="561"/>
      <c r="L470" s="545"/>
      <c r="M470" s="561"/>
      <c r="N470" s="545"/>
      <c r="O470" s="545"/>
    </row>
    <row r="471" spans="3:15">
      <c r="C471" s="537">
        <f>IF(D453="","-",+C470+1)</f>
        <v>2028</v>
      </c>
      <c r="D471" s="495">
        <f t="shared" si="24"/>
        <v>67465763.17638889</v>
      </c>
      <c r="E471" s="538">
        <f t="shared" si="29"/>
        <v>2753704.6194444443</v>
      </c>
      <c r="F471" s="495">
        <f t="shared" si="25"/>
        <v>64712058.556944445</v>
      </c>
      <c r="G471" s="543">
        <f t="shared" si="26"/>
        <v>10149957.356963297</v>
      </c>
      <c r="H471" s="544">
        <f t="shared" si="27"/>
        <v>10149957.356963297</v>
      </c>
      <c r="I471" s="541">
        <f t="shared" si="28"/>
        <v>0</v>
      </c>
      <c r="J471" s="541"/>
      <c r="K471" s="561"/>
      <c r="L471" s="545"/>
      <c r="M471" s="561"/>
      <c r="N471" s="546"/>
      <c r="O471" s="545"/>
    </row>
    <row r="472" spans="3:15">
      <c r="C472" s="537">
        <f>IF(D453="","-",+C471+1)</f>
        <v>2029</v>
      </c>
      <c r="D472" s="495">
        <f t="shared" si="24"/>
        <v>64712058.556944445</v>
      </c>
      <c r="E472" s="538">
        <f t="shared" si="29"/>
        <v>2753704.6194444443</v>
      </c>
      <c r="F472" s="495">
        <f t="shared" si="25"/>
        <v>61958353.9375</v>
      </c>
      <c r="G472" s="543">
        <f t="shared" si="26"/>
        <v>9841780.15956668</v>
      </c>
      <c r="H472" s="544">
        <f t="shared" si="27"/>
        <v>9841780.15956668</v>
      </c>
      <c r="I472" s="541">
        <f t="shared" si="28"/>
        <v>0</v>
      </c>
      <c r="J472" s="541"/>
      <c r="K472" s="561"/>
      <c r="L472" s="545"/>
      <c r="M472" s="561"/>
      <c r="N472" s="545"/>
      <c r="O472" s="545"/>
    </row>
    <row r="473" spans="3:15">
      <c r="C473" s="537">
        <f>IF(D453="","-",+C472+1)</f>
        <v>2030</v>
      </c>
      <c r="D473" s="495">
        <f t="shared" si="24"/>
        <v>61958353.9375</v>
      </c>
      <c r="E473" s="538">
        <f t="shared" si="29"/>
        <v>2753704.6194444443</v>
      </c>
      <c r="F473" s="495">
        <f t="shared" si="25"/>
        <v>59204649.318055555</v>
      </c>
      <c r="G473" s="543">
        <f t="shared" si="26"/>
        <v>9533602.9621700607</v>
      </c>
      <c r="H473" s="544">
        <f t="shared" si="27"/>
        <v>9533602.9621700607</v>
      </c>
      <c r="I473" s="541">
        <f t="shared" si="28"/>
        <v>0</v>
      </c>
      <c r="J473" s="541"/>
      <c r="K473" s="561"/>
      <c r="L473" s="545"/>
      <c r="M473" s="561"/>
      <c r="N473" s="545"/>
      <c r="O473" s="545"/>
    </row>
    <row r="474" spans="3:15">
      <c r="C474" s="537">
        <f>IF(D453="","-",+C473+1)</f>
        <v>2031</v>
      </c>
      <c r="D474" s="495">
        <f t="shared" si="24"/>
        <v>59204649.318055555</v>
      </c>
      <c r="E474" s="538">
        <f t="shared" si="29"/>
        <v>2753704.6194444443</v>
      </c>
      <c r="F474" s="495">
        <f t="shared" si="25"/>
        <v>56450944.69861111</v>
      </c>
      <c r="G474" s="543">
        <f t="shared" si="26"/>
        <v>9225425.7647734415</v>
      </c>
      <c r="H474" s="544">
        <f t="shared" si="27"/>
        <v>9225425.7647734415</v>
      </c>
      <c r="I474" s="541">
        <f t="shared" si="28"/>
        <v>0</v>
      </c>
      <c r="J474" s="541"/>
      <c r="K474" s="561"/>
      <c r="L474" s="545"/>
      <c r="M474" s="561"/>
      <c r="N474" s="545"/>
      <c r="O474" s="545"/>
    </row>
    <row r="475" spans="3:15">
      <c r="C475" s="537">
        <f>IF(D453="","-",+C474+1)</f>
        <v>2032</v>
      </c>
      <c r="D475" s="495">
        <f t="shared" si="24"/>
        <v>56450944.69861111</v>
      </c>
      <c r="E475" s="538">
        <f t="shared" si="29"/>
        <v>2753704.6194444443</v>
      </c>
      <c r="F475" s="495">
        <f t="shared" si="25"/>
        <v>53697240.079166666</v>
      </c>
      <c r="G475" s="543">
        <f t="shared" si="26"/>
        <v>8917248.5673768222</v>
      </c>
      <c r="H475" s="544">
        <f t="shared" si="27"/>
        <v>8917248.5673768222</v>
      </c>
      <c r="I475" s="541">
        <f t="shared" si="28"/>
        <v>0</v>
      </c>
      <c r="J475" s="541"/>
      <c r="K475" s="561"/>
      <c r="L475" s="545"/>
      <c r="M475" s="561"/>
      <c r="N475" s="545"/>
      <c r="O475" s="545"/>
    </row>
    <row r="476" spans="3:15">
      <c r="C476" s="537">
        <f>IF(D453="","-",+C475+1)</f>
        <v>2033</v>
      </c>
      <c r="D476" s="495">
        <f t="shared" si="24"/>
        <v>53697240.079166666</v>
      </c>
      <c r="E476" s="538">
        <f t="shared" si="29"/>
        <v>2753704.6194444443</v>
      </c>
      <c r="F476" s="495">
        <f t="shared" si="25"/>
        <v>50943535.459722221</v>
      </c>
      <c r="G476" s="543">
        <f t="shared" si="26"/>
        <v>8609071.369980203</v>
      </c>
      <c r="H476" s="544">
        <f t="shared" si="27"/>
        <v>8609071.369980203</v>
      </c>
      <c r="I476" s="541">
        <f t="shared" si="28"/>
        <v>0</v>
      </c>
      <c r="J476" s="541"/>
      <c r="K476" s="561"/>
      <c r="L476" s="545"/>
      <c r="M476" s="561"/>
      <c r="N476" s="545"/>
      <c r="O476" s="545"/>
    </row>
    <row r="477" spans="3:15">
      <c r="C477" s="537">
        <f>IF(D453="","-",+C476+1)</f>
        <v>2034</v>
      </c>
      <c r="D477" s="495">
        <f t="shared" si="24"/>
        <v>50943535.459722221</v>
      </c>
      <c r="E477" s="538">
        <f t="shared" si="29"/>
        <v>2753704.6194444443</v>
      </c>
      <c r="F477" s="495">
        <f t="shared" si="25"/>
        <v>48189830.840277776</v>
      </c>
      <c r="G477" s="543">
        <f t="shared" si="26"/>
        <v>8300894.1725835837</v>
      </c>
      <c r="H477" s="544">
        <f t="shared" si="27"/>
        <v>8300894.1725835837</v>
      </c>
      <c r="I477" s="541">
        <f t="shared" si="28"/>
        <v>0</v>
      </c>
      <c r="J477" s="541"/>
      <c r="K477" s="561"/>
      <c r="L477" s="545"/>
      <c r="M477" s="561"/>
      <c r="N477" s="545"/>
      <c r="O477" s="545"/>
    </row>
    <row r="478" spans="3:15">
      <c r="C478" s="537">
        <f>IF(D453="","-",+C477+1)</f>
        <v>2035</v>
      </c>
      <c r="D478" s="495">
        <f t="shared" si="24"/>
        <v>48189830.840277776</v>
      </c>
      <c r="E478" s="538">
        <f t="shared" si="29"/>
        <v>2753704.6194444443</v>
      </c>
      <c r="F478" s="495">
        <f t="shared" si="25"/>
        <v>45436126.220833331</v>
      </c>
      <c r="G478" s="543">
        <f t="shared" si="26"/>
        <v>7992716.9751869664</v>
      </c>
      <c r="H478" s="544">
        <f t="shared" si="27"/>
        <v>7992716.9751869664</v>
      </c>
      <c r="I478" s="541">
        <f t="shared" si="28"/>
        <v>0</v>
      </c>
      <c r="J478" s="541"/>
      <c r="K478" s="561"/>
      <c r="L478" s="545"/>
      <c r="M478" s="561"/>
      <c r="N478" s="545"/>
      <c r="O478" s="545"/>
    </row>
    <row r="479" spans="3:15">
      <c r="C479" s="537">
        <f>IF(D453="","-",+C478+1)</f>
        <v>2036</v>
      </c>
      <c r="D479" s="495">
        <f t="shared" si="24"/>
        <v>45436126.220833331</v>
      </c>
      <c r="E479" s="538">
        <f t="shared" si="29"/>
        <v>2753704.6194444443</v>
      </c>
      <c r="F479" s="495">
        <f t="shared" si="25"/>
        <v>42682421.601388887</v>
      </c>
      <c r="G479" s="543">
        <f t="shared" si="26"/>
        <v>7684539.7777903471</v>
      </c>
      <c r="H479" s="544">
        <f t="shared" si="27"/>
        <v>7684539.7777903471</v>
      </c>
      <c r="I479" s="541">
        <f t="shared" si="28"/>
        <v>0</v>
      </c>
      <c r="J479" s="541"/>
      <c r="K479" s="561"/>
      <c r="L479" s="545"/>
      <c r="M479" s="561"/>
      <c r="N479" s="545"/>
      <c r="O479" s="545"/>
    </row>
    <row r="480" spans="3:15">
      <c r="C480" s="537">
        <f>IF(D453="","-",+C479+1)</f>
        <v>2037</v>
      </c>
      <c r="D480" s="495">
        <f t="shared" si="24"/>
        <v>42682421.601388887</v>
      </c>
      <c r="E480" s="538">
        <f t="shared" si="29"/>
        <v>2753704.6194444443</v>
      </c>
      <c r="F480" s="495">
        <f t="shared" si="25"/>
        <v>39928716.981944442</v>
      </c>
      <c r="G480" s="543">
        <f t="shared" si="26"/>
        <v>7376362.5803937279</v>
      </c>
      <c r="H480" s="544">
        <f t="shared" si="27"/>
        <v>7376362.5803937279</v>
      </c>
      <c r="I480" s="541">
        <f t="shared" si="28"/>
        <v>0</v>
      </c>
      <c r="J480" s="541"/>
      <c r="K480" s="561"/>
      <c r="L480" s="545"/>
      <c r="M480" s="561"/>
      <c r="N480" s="545"/>
      <c r="O480" s="545"/>
    </row>
    <row r="481" spans="3:15">
      <c r="C481" s="537">
        <f>IF(D453="","-",+C480+1)</f>
        <v>2038</v>
      </c>
      <c r="D481" s="495">
        <f t="shared" si="24"/>
        <v>39928716.981944442</v>
      </c>
      <c r="E481" s="538">
        <f t="shared" si="29"/>
        <v>2753704.6194444443</v>
      </c>
      <c r="F481" s="495">
        <f t="shared" si="25"/>
        <v>37175012.362499997</v>
      </c>
      <c r="G481" s="543">
        <f t="shared" si="26"/>
        <v>7068185.3829971086</v>
      </c>
      <c r="H481" s="544">
        <f t="shared" si="27"/>
        <v>7068185.3829971086</v>
      </c>
      <c r="I481" s="541">
        <f t="shared" si="28"/>
        <v>0</v>
      </c>
      <c r="J481" s="541"/>
      <c r="K481" s="561"/>
      <c r="L481" s="545"/>
      <c r="M481" s="561"/>
      <c r="N481" s="545"/>
      <c r="O481" s="545"/>
    </row>
    <row r="482" spans="3:15">
      <c r="C482" s="537">
        <f>IF(D453="","-",+C481+1)</f>
        <v>2039</v>
      </c>
      <c r="D482" s="495">
        <f t="shared" si="24"/>
        <v>37175012.362499997</v>
      </c>
      <c r="E482" s="538">
        <f t="shared" si="29"/>
        <v>2753704.6194444443</v>
      </c>
      <c r="F482" s="495">
        <f t="shared" si="25"/>
        <v>34421307.743055552</v>
      </c>
      <c r="G482" s="543">
        <f t="shared" si="26"/>
        <v>6760008.1856004894</v>
      </c>
      <c r="H482" s="544">
        <f t="shared" si="27"/>
        <v>6760008.1856004894</v>
      </c>
      <c r="I482" s="541">
        <f t="shared" si="28"/>
        <v>0</v>
      </c>
      <c r="J482" s="541"/>
      <c r="K482" s="561"/>
      <c r="L482" s="545"/>
      <c r="M482" s="561"/>
      <c r="N482" s="545"/>
      <c r="O482" s="545"/>
    </row>
    <row r="483" spans="3:15">
      <c r="C483" s="537">
        <f>IF(D453="","-",+C482+1)</f>
        <v>2040</v>
      </c>
      <c r="D483" s="495">
        <f t="shared" si="24"/>
        <v>34421307.743055552</v>
      </c>
      <c r="E483" s="538">
        <f t="shared" si="29"/>
        <v>2753704.6194444443</v>
      </c>
      <c r="F483" s="495">
        <f t="shared" si="25"/>
        <v>31667603.123611107</v>
      </c>
      <c r="G483" s="543">
        <f t="shared" si="26"/>
        <v>6451830.9882038701</v>
      </c>
      <c r="H483" s="544">
        <f t="shared" si="27"/>
        <v>6451830.9882038701</v>
      </c>
      <c r="I483" s="541">
        <f t="shared" si="28"/>
        <v>0</v>
      </c>
      <c r="J483" s="541"/>
      <c r="K483" s="561"/>
      <c r="L483" s="545"/>
      <c r="M483" s="561"/>
      <c r="N483" s="545"/>
      <c r="O483" s="545"/>
    </row>
    <row r="484" spans="3:15">
      <c r="C484" s="537">
        <f>IF(D453="","-",+C483+1)</f>
        <v>2041</v>
      </c>
      <c r="D484" s="495">
        <f t="shared" si="24"/>
        <v>31667603.123611107</v>
      </c>
      <c r="E484" s="538">
        <f t="shared" si="29"/>
        <v>2753704.6194444443</v>
      </c>
      <c r="F484" s="495">
        <f t="shared" si="25"/>
        <v>28913898.504166663</v>
      </c>
      <c r="G484" s="543">
        <f t="shared" si="26"/>
        <v>6143653.7908072518</v>
      </c>
      <c r="H484" s="544">
        <f t="shared" si="27"/>
        <v>6143653.7908072518</v>
      </c>
      <c r="I484" s="541">
        <f t="shared" si="28"/>
        <v>0</v>
      </c>
      <c r="J484" s="541"/>
      <c r="K484" s="561"/>
      <c r="L484" s="545"/>
      <c r="M484" s="561"/>
      <c r="N484" s="545"/>
      <c r="O484" s="545"/>
    </row>
    <row r="485" spans="3:15">
      <c r="C485" s="537">
        <f>IF(D453="","-",+C484+1)</f>
        <v>2042</v>
      </c>
      <c r="D485" s="495">
        <f t="shared" si="24"/>
        <v>28913898.504166663</v>
      </c>
      <c r="E485" s="538">
        <f t="shared" si="29"/>
        <v>2753704.6194444443</v>
      </c>
      <c r="F485" s="495">
        <f t="shared" si="25"/>
        <v>26160193.884722218</v>
      </c>
      <c r="G485" s="543">
        <f t="shared" si="26"/>
        <v>5835476.5934106335</v>
      </c>
      <c r="H485" s="544">
        <f t="shared" si="27"/>
        <v>5835476.5934106335</v>
      </c>
      <c r="I485" s="541">
        <f t="shared" si="28"/>
        <v>0</v>
      </c>
      <c r="J485" s="541"/>
      <c r="K485" s="561"/>
      <c r="L485" s="545"/>
      <c r="M485" s="561"/>
      <c r="N485" s="545"/>
      <c r="O485" s="545"/>
    </row>
    <row r="486" spans="3:15">
      <c r="C486" s="537">
        <f>IF(D453="","-",+C485+1)</f>
        <v>2043</v>
      </c>
      <c r="D486" s="495">
        <f t="shared" si="24"/>
        <v>26160193.884722218</v>
      </c>
      <c r="E486" s="538">
        <f t="shared" si="29"/>
        <v>2753704.6194444443</v>
      </c>
      <c r="F486" s="495">
        <f t="shared" si="25"/>
        <v>23406489.265277773</v>
      </c>
      <c r="G486" s="543">
        <f t="shared" si="26"/>
        <v>5527299.3960140143</v>
      </c>
      <c r="H486" s="544">
        <f t="shared" si="27"/>
        <v>5527299.3960140143</v>
      </c>
      <c r="I486" s="541">
        <f t="shared" si="28"/>
        <v>0</v>
      </c>
      <c r="J486" s="541"/>
      <c r="K486" s="561"/>
      <c r="L486" s="545"/>
      <c r="M486" s="561"/>
      <c r="N486" s="545"/>
      <c r="O486" s="545"/>
    </row>
    <row r="487" spans="3:15">
      <c r="C487" s="537">
        <f>IF(D453="","-",+C486+1)</f>
        <v>2044</v>
      </c>
      <c r="D487" s="495">
        <f t="shared" si="24"/>
        <v>23406489.265277773</v>
      </c>
      <c r="E487" s="538">
        <f t="shared" si="29"/>
        <v>2753704.6194444443</v>
      </c>
      <c r="F487" s="495">
        <f t="shared" si="25"/>
        <v>20652784.645833328</v>
      </c>
      <c r="G487" s="539">
        <f t="shared" si="26"/>
        <v>5219122.198617395</v>
      </c>
      <c r="H487" s="544">
        <f t="shared" si="27"/>
        <v>5219122.198617395</v>
      </c>
      <c r="I487" s="541">
        <f t="shared" si="28"/>
        <v>0</v>
      </c>
      <c r="J487" s="541"/>
      <c r="K487" s="561"/>
      <c r="L487" s="545"/>
      <c r="M487" s="561"/>
      <c r="N487" s="545"/>
      <c r="O487" s="545"/>
    </row>
    <row r="488" spans="3:15">
      <c r="C488" s="537">
        <f>IF(D453="","-",+C487+1)</f>
        <v>2045</v>
      </c>
      <c r="D488" s="495">
        <f t="shared" si="24"/>
        <v>20652784.645833328</v>
      </c>
      <c r="E488" s="538">
        <f t="shared" si="29"/>
        <v>2753704.6194444443</v>
      </c>
      <c r="F488" s="495">
        <f t="shared" si="25"/>
        <v>17899080.026388884</v>
      </c>
      <c r="G488" s="543">
        <f t="shared" si="26"/>
        <v>4910945.0012207758</v>
      </c>
      <c r="H488" s="544">
        <f t="shared" si="27"/>
        <v>4910945.0012207758</v>
      </c>
      <c r="I488" s="541">
        <f t="shared" si="28"/>
        <v>0</v>
      </c>
      <c r="J488" s="541"/>
      <c r="K488" s="561"/>
      <c r="L488" s="545"/>
      <c r="M488" s="561"/>
      <c r="N488" s="545"/>
      <c r="O488" s="545"/>
    </row>
    <row r="489" spans="3:15">
      <c r="C489" s="537">
        <f>IF(D453="","-",+C488+1)</f>
        <v>2046</v>
      </c>
      <c r="D489" s="495">
        <f t="shared" si="24"/>
        <v>17899080.026388884</v>
      </c>
      <c r="E489" s="538">
        <f t="shared" si="29"/>
        <v>2753704.6194444443</v>
      </c>
      <c r="F489" s="495">
        <f t="shared" si="25"/>
        <v>15145375.406944439</v>
      </c>
      <c r="G489" s="543">
        <f t="shared" si="26"/>
        <v>4602767.8038241575</v>
      </c>
      <c r="H489" s="544">
        <f t="shared" si="27"/>
        <v>4602767.8038241575</v>
      </c>
      <c r="I489" s="541">
        <f t="shared" si="28"/>
        <v>0</v>
      </c>
      <c r="J489" s="541"/>
      <c r="K489" s="561"/>
      <c r="L489" s="545"/>
      <c r="M489" s="561"/>
      <c r="N489" s="545"/>
      <c r="O489" s="545"/>
    </row>
    <row r="490" spans="3:15">
      <c r="C490" s="537">
        <f>IF(D453="","-",+C489+1)</f>
        <v>2047</v>
      </c>
      <c r="D490" s="495">
        <f t="shared" si="24"/>
        <v>15145375.406944439</v>
      </c>
      <c r="E490" s="538">
        <f t="shared" si="29"/>
        <v>2753704.6194444443</v>
      </c>
      <c r="F490" s="495">
        <f t="shared" si="25"/>
        <v>12391670.787499994</v>
      </c>
      <c r="G490" s="543">
        <f t="shared" si="26"/>
        <v>4294590.6064275382</v>
      </c>
      <c r="H490" s="544">
        <f t="shared" si="27"/>
        <v>4294590.6064275382</v>
      </c>
      <c r="I490" s="541">
        <f t="shared" si="28"/>
        <v>0</v>
      </c>
      <c r="J490" s="541"/>
      <c r="K490" s="561"/>
      <c r="L490" s="545"/>
      <c r="M490" s="561"/>
      <c r="N490" s="545"/>
      <c r="O490" s="545"/>
    </row>
    <row r="491" spans="3:15">
      <c r="C491" s="537">
        <f>IF(D453="","-",+C490+1)</f>
        <v>2048</v>
      </c>
      <c r="D491" s="495">
        <f t="shared" si="24"/>
        <v>12391670.787499994</v>
      </c>
      <c r="E491" s="538">
        <f t="shared" si="29"/>
        <v>2753704.6194444443</v>
      </c>
      <c r="F491" s="495">
        <f t="shared" si="25"/>
        <v>9637966.1680555493</v>
      </c>
      <c r="G491" s="543">
        <f t="shared" si="26"/>
        <v>3986413.409030919</v>
      </c>
      <c r="H491" s="544">
        <f t="shared" si="27"/>
        <v>3986413.409030919</v>
      </c>
      <c r="I491" s="541">
        <f t="shared" si="28"/>
        <v>0</v>
      </c>
      <c r="J491" s="541"/>
      <c r="K491" s="561"/>
      <c r="L491" s="545"/>
      <c r="M491" s="561"/>
      <c r="N491" s="545"/>
      <c r="O491" s="545"/>
    </row>
    <row r="492" spans="3:15">
      <c r="C492" s="537">
        <f>IF(D453="","-",+C491+1)</f>
        <v>2049</v>
      </c>
      <c r="D492" s="495">
        <f t="shared" si="24"/>
        <v>9637966.1680555493</v>
      </c>
      <c r="E492" s="538">
        <f t="shared" si="29"/>
        <v>2753704.6194444443</v>
      </c>
      <c r="F492" s="495">
        <f t="shared" si="25"/>
        <v>6884261.5486111045</v>
      </c>
      <c r="G492" s="543">
        <f t="shared" si="26"/>
        <v>3678236.2116343002</v>
      </c>
      <c r="H492" s="544">
        <f t="shared" si="27"/>
        <v>3678236.2116343002</v>
      </c>
      <c r="I492" s="541">
        <f t="shared" si="28"/>
        <v>0</v>
      </c>
      <c r="J492" s="541"/>
      <c r="K492" s="561"/>
      <c r="L492" s="545"/>
      <c r="M492" s="561"/>
      <c r="N492" s="545"/>
      <c r="O492" s="545"/>
    </row>
    <row r="493" spans="3:15">
      <c r="C493" s="537">
        <f>IF(D453="","-",+C492+1)</f>
        <v>2050</v>
      </c>
      <c r="D493" s="495">
        <f t="shared" si="24"/>
        <v>6884261.5486111045</v>
      </c>
      <c r="E493" s="538">
        <f t="shared" si="29"/>
        <v>2753704.6194444443</v>
      </c>
      <c r="F493" s="495">
        <f t="shared" si="25"/>
        <v>4130556.9291666602</v>
      </c>
      <c r="G493" s="543">
        <f t="shared" si="26"/>
        <v>3370059.0142376814</v>
      </c>
      <c r="H493" s="544">
        <f t="shared" si="27"/>
        <v>3370059.0142376814</v>
      </c>
      <c r="I493" s="541">
        <f t="shared" si="28"/>
        <v>0</v>
      </c>
      <c r="J493" s="541"/>
      <c r="K493" s="561"/>
      <c r="L493" s="545"/>
      <c r="M493" s="561"/>
      <c r="N493" s="545"/>
      <c r="O493" s="545"/>
    </row>
    <row r="494" spans="3:15">
      <c r="C494" s="537">
        <f>IF(D453="","-",+C493+1)</f>
        <v>2051</v>
      </c>
      <c r="D494" s="495">
        <f t="shared" si="24"/>
        <v>4130556.9291666602</v>
      </c>
      <c r="E494" s="538">
        <f t="shared" si="29"/>
        <v>2753704.6194444443</v>
      </c>
      <c r="F494" s="495">
        <f t="shared" si="25"/>
        <v>1376852.3097222159</v>
      </c>
      <c r="G494" s="543">
        <f t="shared" si="26"/>
        <v>3061881.8168410626</v>
      </c>
      <c r="H494" s="544">
        <f t="shared" si="27"/>
        <v>3061881.8168410626</v>
      </c>
      <c r="I494" s="541">
        <f t="shared" si="28"/>
        <v>0</v>
      </c>
      <c r="J494" s="541"/>
      <c r="K494" s="561"/>
      <c r="L494" s="545"/>
      <c r="M494" s="561"/>
      <c r="N494" s="545"/>
      <c r="O494" s="545"/>
    </row>
    <row r="495" spans="3:15">
      <c r="C495" s="537">
        <f>IF(D453="","-",+C494+1)</f>
        <v>2052</v>
      </c>
      <c r="D495" s="495">
        <f t="shared" si="24"/>
        <v>1376852.3097222159</v>
      </c>
      <c r="E495" s="538">
        <f t="shared" si="29"/>
        <v>1376852.3097222159</v>
      </c>
      <c r="F495" s="495">
        <f t="shared" si="25"/>
        <v>0</v>
      </c>
      <c r="G495" s="543">
        <f t="shared" si="26"/>
        <v>1453896.6090713702</v>
      </c>
      <c r="H495" s="544">
        <f t="shared" si="27"/>
        <v>1453896.6090713702</v>
      </c>
      <c r="I495" s="541">
        <f t="shared" si="28"/>
        <v>0</v>
      </c>
      <c r="J495" s="541"/>
      <c r="K495" s="561"/>
      <c r="L495" s="545"/>
      <c r="M495" s="561"/>
      <c r="N495" s="545"/>
      <c r="O495" s="545"/>
    </row>
    <row r="496" spans="3:15">
      <c r="C496" s="537">
        <f>IF(D453="","-",+C495+1)</f>
        <v>2053</v>
      </c>
      <c r="D496" s="495">
        <f t="shared" si="24"/>
        <v>0</v>
      </c>
      <c r="E496" s="538">
        <f t="shared" si="29"/>
        <v>0</v>
      </c>
      <c r="F496" s="495">
        <f t="shared" si="25"/>
        <v>0</v>
      </c>
      <c r="G496" s="543">
        <f t="shared" si="26"/>
        <v>0</v>
      </c>
      <c r="H496" s="544">
        <f t="shared" si="27"/>
        <v>0</v>
      </c>
      <c r="I496" s="541">
        <f t="shared" si="28"/>
        <v>0</v>
      </c>
      <c r="J496" s="541"/>
      <c r="K496" s="561"/>
      <c r="L496" s="545"/>
      <c r="M496" s="561"/>
      <c r="N496" s="545"/>
      <c r="O496" s="545"/>
    </row>
    <row r="497" spans="3:15">
      <c r="C497" s="537">
        <f>IF(D453="","-",+C496+1)</f>
        <v>2054</v>
      </c>
      <c r="D497" s="495">
        <f t="shared" si="24"/>
        <v>0</v>
      </c>
      <c r="E497" s="538">
        <f t="shared" si="29"/>
        <v>0</v>
      </c>
      <c r="F497" s="495">
        <f t="shared" si="25"/>
        <v>0</v>
      </c>
      <c r="G497" s="543">
        <f t="shared" si="26"/>
        <v>0</v>
      </c>
      <c r="H497" s="544">
        <f t="shared" si="27"/>
        <v>0</v>
      </c>
      <c r="I497" s="541">
        <f t="shared" si="28"/>
        <v>0</v>
      </c>
      <c r="J497" s="541"/>
      <c r="K497" s="561"/>
      <c r="L497" s="545"/>
      <c r="M497" s="561"/>
      <c r="N497" s="545"/>
      <c r="O497" s="545"/>
    </row>
    <row r="498" spans="3:15">
      <c r="C498" s="537">
        <f>IF(D453="","-",+C497+1)</f>
        <v>2055</v>
      </c>
      <c r="D498" s="495">
        <f t="shared" si="24"/>
        <v>0</v>
      </c>
      <c r="E498" s="538">
        <f t="shared" si="29"/>
        <v>0</v>
      </c>
      <c r="F498" s="495">
        <f t="shared" si="25"/>
        <v>0</v>
      </c>
      <c r="G498" s="543">
        <f t="shared" si="26"/>
        <v>0</v>
      </c>
      <c r="H498" s="544">
        <f t="shared" si="27"/>
        <v>0</v>
      </c>
      <c r="I498" s="541">
        <f t="shared" si="28"/>
        <v>0</v>
      </c>
      <c r="J498" s="541"/>
      <c r="K498" s="561"/>
      <c r="L498" s="545"/>
      <c r="M498" s="561"/>
      <c r="N498" s="545"/>
      <c r="O498" s="545"/>
    </row>
    <row r="499" spans="3:15">
      <c r="C499" s="537">
        <f>IF(D453="","-",+C498+1)</f>
        <v>2056</v>
      </c>
      <c r="D499" s="495">
        <f t="shared" si="24"/>
        <v>0</v>
      </c>
      <c r="E499" s="538">
        <f t="shared" si="29"/>
        <v>0</v>
      </c>
      <c r="F499" s="495">
        <f t="shared" si="25"/>
        <v>0</v>
      </c>
      <c r="G499" s="543">
        <f t="shared" si="26"/>
        <v>0</v>
      </c>
      <c r="H499" s="544">
        <f t="shared" si="27"/>
        <v>0</v>
      </c>
      <c r="I499" s="541">
        <f t="shared" si="28"/>
        <v>0</v>
      </c>
      <c r="J499" s="541"/>
      <c r="K499" s="561"/>
      <c r="L499" s="545"/>
      <c r="M499" s="561"/>
      <c r="N499" s="545"/>
      <c r="O499" s="545"/>
    </row>
    <row r="500" spans="3:15">
      <c r="C500" s="537">
        <f>IF(D453="","-",+C499+1)</f>
        <v>2057</v>
      </c>
      <c r="D500" s="495">
        <f t="shared" si="24"/>
        <v>0</v>
      </c>
      <c r="E500" s="538">
        <f t="shared" si="29"/>
        <v>0</v>
      </c>
      <c r="F500" s="495">
        <f t="shared" si="25"/>
        <v>0</v>
      </c>
      <c r="G500" s="543">
        <f t="shared" si="26"/>
        <v>0</v>
      </c>
      <c r="H500" s="544">
        <f t="shared" si="27"/>
        <v>0</v>
      </c>
      <c r="I500" s="541">
        <f t="shared" si="28"/>
        <v>0</v>
      </c>
      <c r="J500" s="541"/>
      <c r="K500" s="561"/>
      <c r="L500" s="545"/>
      <c r="M500" s="561"/>
      <c r="N500" s="545"/>
      <c r="O500" s="545"/>
    </row>
    <row r="501" spans="3:15">
      <c r="C501" s="537">
        <f>IF(D453="","-",+C500+1)</f>
        <v>2058</v>
      </c>
      <c r="D501" s="495">
        <f t="shared" si="24"/>
        <v>0</v>
      </c>
      <c r="E501" s="538">
        <f t="shared" si="29"/>
        <v>0</v>
      </c>
      <c r="F501" s="495">
        <f t="shared" si="25"/>
        <v>0</v>
      </c>
      <c r="G501" s="543">
        <f t="shared" si="26"/>
        <v>0</v>
      </c>
      <c r="H501" s="544">
        <f t="shared" si="27"/>
        <v>0</v>
      </c>
      <c r="I501" s="541">
        <f t="shared" si="28"/>
        <v>0</v>
      </c>
      <c r="J501" s="541"/>
      <c r="K501" s="561"/>
      <c r="L501" s="545"/>
      <c r="M501" s="561"/>
      <c r="N501" s="545"/>
      <c r="O501" s="545"/>
    </row>
    <row r="502" spans="3:15">
      <c r="C502" s="537">
        <f>IF(D453="","-",+C501+1)</f>
        <v>2059</v>
      </c>
      <c r="D502" s="495">
        <f t="shared" si="24"/>
        <v>0</v>
      </c>
      <c r="E502" s="538">
        <f t="shared" si="29"/>
        <v>0</v>
      </c>
      <c r="F502" s="495">
        <f t="shared" si="25"/>
        <v>0</v>
      </c>
      <c r="G502" s="543">
        <f t="shared" si="26"/>
        <v>0</v>
      </c>
      <c r="H502" s="544">
        <f t="shared" si="27"/>
        <v>0</v>
      </c>
      <c r="I502" s="541">
        <f t="shared" si="28"/>
        <v>0</v>
      </c>
      <c r="J502" s="541"/>
      <c r="K502" s="561"/>
      <c r="L502" s="545"/>
      <c r="M502" s="561"/>
      <c r="N502" s="545"/>
      <c r="O502" s="545"/>
    </row>
    <row r="503" spans="3:15">
      <c r="C503" s="537">
        <f>IF(D453="","-",+C502+1)</f>
        <v>2060</v>
      </c>
      <c r="D503" s="495">
        <f t="shared" si="24"/>
        <v>0</v>
      </c>
      <c r="E503" s="538">
        <f t="shared" si="29"/>
        <v>0</v>
      </c>
      <c r="F503" s="495">
        <f t="shared" si="25"/>
        <v>0</v>
      </c>
      <c r="G503" s="543">
        <f t="shared" si="26"/>
        <v>0</v>
      </c>
      <c r="H503" s="544">
        <f t="shared" si="27"/>
        <v>0</v>
      </c>
      <c r="I503" s="541">
        <f t="shared" si="28"/>
        <v>0</v>
      </c>
      <c r="J503" s="541"/>
      <c r="K503" s="561"/>
      <c r="L503" s="545"/>
      <c r="M503" s="561"/>
      <c r="N503" s="545"/>
      <c r="O503" s="545"/>
    </row>
    <row r="504" spans="3:15">
      <c r="C504" s="537">
        <f>IF(D453="","-",+C503+1)</f>
        <v>2061</v>
      </c>
      <c r="D504" s="495">
        <f t="shared" si="24"/>
        <v>0</v>
      </c>
      <c r="E504" s="538">
        <f t="shared" si="29"/>
        <v>0</v>
      </c>
      <c r="F504" s="495">
        <f t="shared" si="25"/>
        <v>0</v>
      </c>
      <c r="G504" s="543">
        <f t="shared" si="26"/>
        <v>0</v>
      </c>
      <c r="H504" s="544">
        <f t="shared" si="27"/>
        <v>0</v>
      </c>
      <c r="I504" s="541">
        <f t="shared" si="28"/>
        <v>0</v>
      </c>
      <c r="J504" s="541"/>
      <c r="K504" s="561"/>
      <c r="L504" s="545"/>
      <c r="M504" s="561"/>
      <c r="N504" s="545"/>
      <c r="O504" s="545"/>
    </row>
    <row r="505" spans="3:15">
      <c r="C505" s="537">
        <f>IF(D453="","-",+C504+1)</f>
        <v>2062</v>
      </c>
      <c r="D505" s="495">
        <f t="shared" si="24"/>
        <v>0</v>
      </c>
      <c r="E505" s="538">
        <f t="shared" si="29"/>
        <v>0</v>
      </c>
      <c r="F505" s="495">
        <f t="shared" si="25"/>
        <v>0</v>
      </c>
      <c r="G505" s="543">
        <f t="shared" si="26"/>
        <v>0</v>
      </c>
      <c r="H505" s="544">
        <f t="shared" si="27"/>
        <v>0</v>
      </c>
      <c r="I505" s="541">
        <f t="shared" si="28"/>
        <v>0</v>
      </c>
      <c r="J505" s="541"/>
      <c r="K505" s="561"/>
      <c r="L505" s="545"/>
      <c r="M505" s="561"/>
      <c r="N505" s="545"/>
      <c r="O505" s="545"/>
    </row>
    <row r="506" spans="3:15">
      <c r="C506" s="537">
        <f>IF(D453="","-",+C505+1)</f>
        <v>2063</v>
      </c>
      <c r="D506" s="495">
        <f t="shared" si="24"/>
        <v>0</v>
      </c>
      <c r="E506" s="538">
        <f t="shared" si="29"/>
        <v>0</v>
      </c>
      <c r="F506" s="495">
        <f t="shared" si="25"/>
        <v>0</v>
      </c>
      <c r="G506" s="543">
        <f t="shared" si="26"/>
        <v>0</v>
      </c>
      <c r="H506" s="544">
        <f t="shared" si="27"/>
        <v>0</v>
      </c>
      <c r="I506" s="541">
        <f t="shared" si="28"/>
        <v>0</v>
      </c>
      <c r="J506" s="541"/>
      <c r="K506" s="561"/>
      <c r="L506" s="545"/>
      <c r="M506" s="561"/>
      <c r="N506" s="545"/>
      <c r="O506" s="545"/>
    </row>
    <row r="507" spans="3:15">
      <c r="C507" s="537">
        <f>IF(D453="","-",+C506+1)</f>
        <v>2064</v>
      </c>
      <c r="D507" s="495">
        <f t="shared" si="24"/>
        <v>0</v>
      </c>
      <c r="E507" s="538">
        <f t="shared" si="29"/>
        <v>0</v>
      </c>
      <c r="F507" s="495">
        <f t="shared" si="25"/>
        <v>0</v>
      </c>
      <c r="G507" s="543">
        <f t="shared" si="26"/>
        <v>0</v>
      </c>
      <c r="H507" s="544">
        <f t="shared" si="27"/>
        <v>0</v>
      </c>
      <c r="I507" s="541">
        <f t="shared" si="28"/>
        <v>0</v>
      </c>
      <c r="J507" s="541"/>
      <c r="K507" s="561"/>
      <c r="L507" s="545"/>
      <c r="M507" s="561"/>
      <c r="N507" s="545"/>
      <c r="O507" s="545"/>
    </row>
    <row r="508" spans="3:15">
      <c r="C508" s="537">
        <f>IF(D453="","-",+C507+1)</f>
        <v>2065</v>
      </c>
      <c r="D508" s="495">
        <f t="shared" si="24"/>
        <v>0</v>
      </c>
      <c r="E508" s="538">
        <f t="shared" si="29"/>
        <v>0</v>
      </c>
      <c r="F508" s="495">
        <f t="shared" si="25"/>
        <v>0</v>
      </c>
      <c r="G508" s="543">
        <f t="shared" si="26"/>
        <v>0</v>
      </c>
      <c r="H508" s="544">
        <f t="shared" si="27"/>
        <v>0</v>
      </c>
      <c r="I508" s="541">
        <f t="shared" si="28"/>
        <v>0</v>
      </c>
      <c r="J508" s="541"/>
      <c r="K508" s="561"/>
      <c r="L508" s="545"/>
      <c r="M508" s="561"/>
      <c r="N508" s="545"/>
      <c r="O508" s="545"/>
    </row>
    <row r="509" spans="3:15">
      <c r="C509" s="537">
        <f>IF(D453="","-",+C508+1)</f>
        <v>2066</v>
      </c>
      <c r="D509" s="495">
        <f t="shared" si="24"/>
        <v>0</v>
      </c>
      <c r="E509" s="538">
        <f t="shared" si="29"/>
        <v>0</v>
      </c>
      <c r="F509" s="495">
        <f t="shared" si="25"/>
        <v>0</v>
      </c>
      <c r="G509" s="543">
        <f t="shared" si="26"/>
        <v>0</v>
      </c>
      <c r="H509" s="544">
        <f t="shared" si="27"/>
        <v>0</v>
      </c>
      <c r="I509" s="541">
        <f t="shared" si="28"/>
        <v>0</v>
      </c>
      <c r="J509" s="541"/>
      <c r="K509" s="561"/>
      <c r="L509" s="545"/>
      <c r="M509" s="561"/>
      <c r="N509" s="545"/>
      <c r="O509" s="545"/>
    </row>
    <row r="510" spans="3:15">
      <c r="C510" s="537">
        <f>IF(D453="","-",+C509+1)</f>
        <v>2067</v>
      </c>
      <c r="D510" s="495">
        <f t="shared" si="24"/>
        <v>0</v>
      </c>
      <c r="E510" s="538">
        <f t="shared" si="29"/>
        <v>0</v>
      </c>
      <c r="F510" s="495">
        <f t="shared" si="25"/>
        <v>0</v>
      </c>
      <c r="G510" s="543">
        <f t="shared" si="26"/>
        <v>0</v>
      </c>
      <c r="H510" s="544">
        <f t="shared" si="27"/>
        <v>0</v>
      </c>
      <c r="I510" s="541">
        <f t="shared" si="28"/>
        <v>0</v>
      </c>
      <c r="J510" s="541"/>
      <c r="K510" s="561"/>
      <c r="L510" s="545"/>
      <c r="M510" s="561"/>
      <c r="N510" s="545"/>
      <c r="O510" s="545"/>
    </row>
    <row r="511" spans="3:15">
      <c r="C511" s="537">
        <f>IF(D453="","-",+C510+1)</f>
        <v>2068</v>
      </c>
      <c r="D511" s="495">
        <f t="shared" si="24"/>
        <v>0</v>
      </c>
      <c r="E511" s="538">
        <f t="shared" si="29"/>
        <v>0</v>
      </c>
      <c r="F511" s="495">
        <f t="shared" si="25"/>
        <v>0</v>
      </c>
      <c r="G511" s="543">
        <f t="shared" si="26"/>
        <v>0</v>
      </c>
      <c r="H511" s="544">
        <f t="shared" si="27"/>
        <v>0</v>
      </c>
      <c r="I511" s="541">
        <f t="shared" si="28"/>
        <v>0</v>
      </c>
      <c r="J511" s="541"/>
      <c r="K511" s="561"/>
      <c r="L511" s="545"/>
      <c r="M511" s="561"/>
      <c r="N511" s="545"/>
      <c r="O511" s="545"/>
    </row>
    <row r="512" spans="3:15">
      <c r="C512" s="537">
        <f>IF(D453="","-",+C511+1)</f>
        <v>2069</v>
      </c>
      <c r="D512" s="495">
        <f t="shared" si="24"/>
        <v>0</v>
      </c>
      <c r="E512" s="538">
        <f t="shared" si="29"/>
        <v>0</v>
      </c>
      <c r="F512" s="495">
        <f t="shared" si="25"/>
        <v>0</v>
      </c>
      <c r="G512" s="543">
        <f t="shared" si="26"/>
        <v>0</v>
      </c>
      <c r="H512" s="544">
        <f t="shared" si="27"/>
        <v>0</v>
      </c>
      <c r="I512" s="541">
        <f t="shared" si="28"/>
        <v>0</v>
      </c>
      <c r="J512" s="541"/>
      <c r="K512" s="561"/>
      <c r="L512" s="545"/>
      <c r="M512" s="561"/>
      <c r="N512" s="545"/>
      <c r="O512" s="545"/>
    </row>
    <row r="513" spans="3:15">
      <c r="C513" s="537">
        <f>IF(D453="","-",+C512+1)</f>
        <v>2070</v>
      </c>
      <c r="D513" s="495">
        <f t="shared" si="24"/>
        <v>0</v>
      </c>
      <c r="E513" s="538">
        <f t="shared" si="29"/>
        <v>0</v>
      </c>
      <c r="F513" s="495">
        <f t="shared" si="25"/>
        <v>0</v>
      </c>
      <c r="G513" s="543">
        <f t="shared" si="26"/>
        <v>0</v>
      </c>
      <c r="H513" s="544">
        <f t="shared" si="27"/>
        <v>0</v>
      </c>
      <c r="I513" s="541">
        <f t="shared" si="28"/>
        <v>0</v>
      </c>
      <c r="J513" s="541"/>
      <c r="K513" s="561"/>
      <c r="L513" s="545"/>
      <c r="M513" s="561"/>
      <c r="N513" s="545"/>
      <c r="O513" s="545"/>
    </row>
    <row r="514" spans="3:15">
      <c r="C514" s="537">
        <f>IF(D453="","-",+C513+1)</f>
        <v>2071</v>
      </c>
      <c r="D514" s="495">
        <f t="shared" si="24"/>
        <v>0</v>
      </c>
      <c r="E514" s="538">
        <f t="shared" si="29"/>
        <v>0</v>
      </c>
      <c r="F514" s="495">
        <f t="shared" si="25"/>
        <v>0</v>
      </c>
      <c r="G514" s="543">
        <f t="shared" si="26"/>
        <v>0</v>
      </c>
      <c r="H514" s="544">
        <f t="shared" si="27"/>
        <v>0</v>
      </c>
      <c r="I514" s="541">
        <f t="shared" si="28"/>
        <v>0</v>
      </c>
      <c r="J514" s="541"/>
      <c r="K514" s="561"/>
      <c r="L514" s="545"/>
      <c r="M514" s="561"/>
      <c r="N514" s="545"/>
      <c r="O514" s="545"/>
    </row>
    <row r="515" spans="3:15">
      <c r="C515" s="537">
        <f>IF(D453="","-",+C514+1)</f>
        <v>2072</v>
      </c>
      <c r="D515" s="495">
        <f t="shared" si="24"/>
        <v>0</v>
      </c>
      <c r="E515" s="538">
        <f t="shared" si="29"/>
        <v>0</v>
      </c>
      <c r="F515" s="495">
        <f t="shared" si="25"/>
        <v>0</v>
      </c>
      <c r="G515" s="543">
        <f t="shared" si="26"/>
        <v>0</v>
      </c>
      <c r="H515" s="544">
        <f t="shared" si="27"/>
        <v>0</v>
      </c>
      <c r="I515" s="541">
        <f t="shared" si="28"/>
        <v>0</v>
      </c>
      <c r="J515" s="541"/>
      <c r="K515" s="561"/>
      <c r="L515" s="545"/>
      <c r="M515" s="561"/>
      <c r="N515" s="545"/>
      <c r="O515" s="545"/>
    </row>
    <row r="516" spans="3:15">
      <c r="C516" s="537">
        <f>IF(D453="","-",+C515+1)</f>
        <v>2073</v>
      </c>
      <c r="D516" s="495">
        <f t="shared" si="24"/>
        <v>0</v>
      </c>
      <c r="E516" s="538">
        <f t="shared" si="29"/>
        <v>0</v>
      </c>
      <c r="F516" s="495">
        <f t="shared" si="25"/>
        <v>0</v>
      </c>
      <c r="G516" s="543">
        <f t="shared" si="26"/>
        <v>0</v>
      </c>
      <c r="H516" s="544">
        <f t="shared" si="27"/>
        <v>0</v>
      </c>
      <c r="I516" s="541">
        <f t="shared" si="28"/>
        <v>0</v>
      </c>
      <c r="J516" s="541"/>
      <c r="K516" s="561"/>
      <c r="L516" s="545"/>
      <c r="M516" s="561"/>
      <c r="N516" s="545"/>
      <c r="O516" s="545"/>
    </row>
    <row r="517" spans="3:15">
      <c r="C517" s="537">
        <f>IF(D453="","-",+C516+1)</f>
        <v>2074</v>
      </c>
      <c r="D517" s="495">
        <f t="shared" si="24"/>
        <v>0</v>
      </c>
      <c r="E517" s="538">
        <f t="shared" si="29"/>
        <v>0</v>
      </c>
      <c r="F517" s="495">
        <f t="shared" si="25"/>
        <v>0</v>
      </c>
      <c r="G517" s="543">
        <f t="shared" si="26"/>
        <v>0</v>
      </c>
      <c r="H517" s="544">
        <f t="shared" si="27"/>
        <v>0</v>
      </c>
      <c r="I517" s="541">
        <f t="shared" si="28"/>
        <v>0</v>
      </c>
      <c r="J517" s="541"/>
      <c r="K517" s="561"/>
      <c r="L517" s="545"/>
      <c r="M517" s="561"/>
      <c r="N517" s="545"/>
      <c r="O517" s="545"/>
    </row>
    <row r="518" spans="3:15" ht="13.5" thickBot="1">
      <c r="C518" s="547">
        <f>IF(D453="","-",+C517+1)</f>
        <v>2075</v>
      </c>
      <c r="D518" s="548">
        <f t="shared" si="24"/>
        <v>0</v>
      </c>
      <c r="E518" s="549">
        <f t="shared" si="29"/>
        <v>0</v>
      </c>
      <c r="F518" s="548">
        <f t="shared" si="25"/>
        <v>0</v>
      </c>
      <c r="G518" s="550">
        <f t="shared" si="26"/>
        <v>0</v>
      </c>
      <c r="H518" s="550">
        <f t="shared" si="27"/>
        <v>0</v>
      </c>
      <c r="I518" s="551">
        <f t="shared" si="28"/>
        <v>0</v>
      </c>
      <c r="J518" s="541"/>
      <c r="K518" s="562"/>
      <c r="L518" s="552"/>
      <c r="M518" s="562"/>
      <c r="N518" s="552"/>
      <c r="O518" s="552"/>
    </row>
    <row r="519" spans="3:15">
      <c r="C519" s="495" t="s">
        <v>91</v>
      </c>
      <c r="D519" s="492"/>
      <c r="E519" s="492">
        <f>SUM(E459:E518)</f>
        <v>99133366.299999997</v>
      </c>
      <c r="F519" s="492"/>
      <c r="G519" s="492">
        <f>SUM(G459:G518)</f>
        <v>304379379.76614821</v>
      </c>
      <c r="H519" s="492">
        <f>SUM(H459:H518)</f>
        <v>304379379.76614821</v>
      </c>
      <c r="I519" s="492">
        <f>SUM(I459:I518)</f>
        <v>0</v>
      </c>
      <c r="J519" s="492"/>
      <c r="K519" s="492"/>
      <c r="L519" s="492"/>
      <c r="M519" s="492"/>
      <c r="N519" s="492"/>
      <c r="O519" s="3"/>
    </row>
    <row r="520" spans="3:15">
      <c r="D520" s="47"/>
      <c r="E520" s="3"/>
      <c r="F520" s="3"/>
      <c r="G520" s="3"/>
      <c r="H520" s="479"/>
      <c r="I520" s="479"/>
      <c r="J520" s="492"/>
      <c r="K520" s="479"/>
      <c r="L520" s="479"/>
      <c r="M520" s="479"/>
      <c r="N520" s="479"/>
      <c r="O520" s="3"/>
    </row>
    <row r="521" spans="3:15">
      <c r="C521" s="3" t="s">
        <v>13</v>
      </c>
      <c r="D521" s="47"/>
      <c r="E521" s="3"/>
      <c r="F521" s="3"/>
      <c r="G521" s="3"/>
      <c r="H521" s="479"/>
      <c r="I521" s="479"/>
      <c r="J521" s="492"/>
      <c r="K521" s="479"/>
      <c r="L521" s="479"/>
      <c r="M521" s="479"/>
      <c r="N521" s="479"/>
      <c r="O521" s="3"/>
    </row>
    <row r="522" spans="3:15">
      <c r="C522" s="3"/>
      <c r="D522" s="47"/>
      <c r="E522" s="3"/>
      <c r="F522" s="3"/>
      <c r="G522" s="3"/>
      <c r="H522" s="479"/>
      <c r="I522" s="479"/>
      <c r="J522" s="492"/>
      <c r="K522" s="479"/>
      <c r="L522" s="479"/>
      <c r="M522" s="479"/>
      <c r="N522" s="479"/>
      <c r="O522" s="3"/>
    </row>
    <row r="523" spans="3:15">
      <c r="C523" s="507" t="s">
        <v>14</v>
      </c>
      <c r="D523" s="495"/>
      <c r="E523" s="495"/>
      <c r="F523" s="495"/>
      <c r="G523" s="492"/>
      <c r="H523" s="492"/>
      <c r="I523" s="553"/>
      <c r="J523" s="553"/>
      <c r="K523" s="553"/>
      <c r="L523" s="553"/>
      <c r="M523" s="553"/>
      <c r="N523" s="553"/>
      <c r="O523" s="3"/>
    </row>
    <row r="524" spans="3:15">
      <c r="C524" s="496" t="s">
        <v>271</v>
      </c>
      <c r="D524" s="495"/>
      <c r="E524" s="495"/>
      <c r="F524" s="495"/>
      <c r="G524" s="492"/>
      <c r="H524" s="492"/>
      <c r="I524" s="553"/>
      <c r="J524" s="553"/>
      <c r="K524" s="553"/>
      <c r="L524" s="553"/>
      <c r="M524" s="553"/>
      <c r="N524" s="553"/>
      <c r="O524" s="3"/>
    </row>
    <row r="525" spans="3:15">
      <c r="C525" s="496" t="s">
        <v>92</v>
      </c>
      <c r="D525" s="495"/>
      <c r="E525" s="495"/>
      <c r="F525" s="495"/>
      <c r="G525" s="492"/>
      <c r="H525" s="492"/>
      <c r="I525" s="553"/>
      <c r="J525" s="553"/>
      <c r="K525" s="553"/>
      <c r="L525" s="553"/>
      <c r="M525" s="553"/>
      <c r="N525" s="553"/>
      <c r="O525" s="3"/>
    </row>
    <row r="526" spans="3:15">
      <c r="C526" s="496"/>
      <c r="D526" s="495"/>
      <c r="E526" s="495"/>
      <c r="F526" s="495"/>
      <c r="G526" s="492"/>
      <c r="H526" s="492"/>
      <c r="I526" s="553"/>
      <c r="J526" s="553"/>
      <c r="K526" s="553"/>
      <c r="L526" s="553"/>
      <c r="M526" s="553"/>
      <c r="N526" s="553"/>
      <c r="O526" s="3"/>
    </row>
    <row r="527" spans="3:15">
      <c r="C527" s="1185" t="s">
        <v>6</v>
      </c>
      <c r="D527" s="1185"/>
      <c r="E527" s="1185"/>
      <c r="F527" s="1185"/>
      <c r="G527" s="1185"/>
      <c r="H527" s="1185"/>
      <c r="I527" s="1185"/>
      <c r="J527" s="1185"/>
      <c r="K527" s="1185"/>
      <c r="L527" s="1185"/>
      <c r="M527" s="1185"/>
      <c r="N527" s="1185"/>
      <c r="O527" s="1185"/>
    </row>
    <row r="528" spans="3:15">
      <c r="C528" s="1185"/>
      <c r="D528" s="1185"/>
      <c r="E528" s="1185"/>
      <c r="F528" s="1185"/>
      <c r="G528" s="1185"/>
      <c r="H528" s="1185"/>
      <c r="I528" s="1185"/>
      <c r="J528" s="1185"/>
      <c r="K528" s="1185"/>
      <c r="L528" s="1185"/>
      <c r="M528" s="1185"/>
      <c r="N528" s="1185"/>
      <c r="O528" s="1185"/>
    </row>
    <row r="529" spans="1:16" ht="20.25">
      <c r="A529" s="436" t="str">
        <f>""&amp;A453&amp;" Worksheet J -  ATRR PROJECTED Calculation for PJM Projects Charged to Benefiting Zones"</f>
        <v xml:space="preserve"> Worksheet J -  ATRR PROJECTED Calculation for PJM Projects Charged to Benefiting Zones</v>
      </c>
      <c r="B529" s="3"/>
      <c r="C529" s="3"/>
      <c r="D529" s="47"/>
      <c r="E529" s="3"/>
      <c r="F529" s="478"/>
      <c r="G529" s="3"/>
      <c r="H529" s="479"/>
      <c r="K529" s="387"/>
      <c r="L529" s="387"/>
      <c r="M529" s="387"/>
      <c r="N529" s="387" t="str">
        <f>"Page "&amp;SUM(P$8:P529)&amp;" of "</f>
        <v xml:space="preserve">Page 7 of </v>
      </c>
      <c r="O529" s="437">
        <f>COUNT(P$8:P$56562)</f>
        <v>12</v>
      </c>
      <c r="P529">
        <v>1</v>
      </c>
    </row>
    <row r="530" spans="1:16" ht="20.25">
      <c r="A530" s="436"/>
      <c r="B530" s="3"/>
      <c r="C530" s="3"/>
      <c r="D530" s="47"/>
      <c r="E530" s="3"/>
      <c r="F530" s="478"/>
      <c r="G530" s="3"/>
      <c r="H530" s="479"/>
      <c r="K530" s="387"/>
      <c r="L530" s="387"/>
      <c r="M530" s="387"/>
      <c r="N530" s="387"/>
      <c r="O530" s="437"/>
    </row>
    <row r="531" spans="1:16" ht="18">
      <c r="B531" s="438" t="s">
        <v>472</v>
      </c>
      <c r="C531" s="119" t="s">
        <v>93</v>
      </c>
      <c r="D531" s="47"/>
      <c r="E531" s="3"/>
      <c r="F531" s="3"/>
      <c r="G531" s="3"/>
      <c r="H531" s="479"/>
      <c r="I531" s="479"/>
      <c r="J531" s="492"/>
      <c r="K531" s="479"/>
      <c r="L531" s="479"/>
      <c r="M531" s="479"/>
      <c r="N531" s="479"/>
      <c r="O531" s="3"/>
    </row>
    <row r="532" spans="1:16" ht="18.75">
      <c r="B532" s="438"/>
      <c r="C532" s="6"/>
      <c r="D532" s="47"/>
      <c r="E532" s="3"/>
      <c r="F532" s="3"/>
      <c r="G532" s="3"/>
      <c r="H532" s="479"/>
      <c r="I532" s="479"/>
      <c r="J532" s="492"/>
      <c r="K532" s="479"/>
      <c r="L532" s="479"/>
      <c r="M532" s="479"/>
      <c r="N532" s="479"/>
      <c r="O532" s="3"/>
    </row>
    <row r="533" spans="1:16" ht="18.75">
      <c r="B533" s="438"/>
      <c r="C533" s="6" t="s">
        <v>94</v>
      </c>
      <c r="D533" s="47"/>
      <c r="E533" s="3"/>
      <c r="F533" s="3"/>
      <c r="G533" s="3"/>
      <c r="H533" s="479"/>
      <c r="I533" s="479"/>
      <c r="J533" s="492"/>
      <c r="K533" s="479"/>
      <c r="L533" s="479"/>
      <c r="M533" s="479"/>
      <c r="N533" s="479"/>
      <c r="O533" s="3"/>
    </row>
    <row r="534" spans="1:16" ht="15.75" thickBot="1">
      <c r="C534" s="128"/>
      <c r="D534" s="47"/>
      <c r="E534" s="3"/>
      <c r="F534" s="3"/>
      <c r="G534" s="3"/>
      <c r="H534" s="479"/>
      <c r="I534" s="479"/>
      <c r="J534" s="492"/>
      <c r="K534" s="479"/>
      <c r="L534" s="479"/>
      <c r="M534" s="479"/>
      <c r="N534" s="479"/>
      <c r="O534" s="3"/>
    </row>
    <row r="535" spans="1:16" ht="15.75">
      <c r="C535" s="440" t="s">
        <v>95</v>
      </c>
      <c r="D535" s="47"/>
      <c r="E535" s="3"/>
      <c r="F535" s="3"/>
      <c r="G535" s="555"/>
      <c r="H535" s="3" t="s">
        <v>74</v>
      </c>
      <c r="I535" s="3"/>
      <c r="J535" s="3"/>
      <c r="K535" s="498" t="s">
        <v>99</v>
      </c>
      <c r="L535" s="499"/>
      <c r="M535" s="500"/>
      <c r="N535" s="501">
        <f>IF(I541=0,0,VLOOKUP(I541,C548:O607,5))</f>
        <v>5752225.1689928342</v>
      </c>
      <c r="O535" s="3"/>
    </row>
    <row r="536" spans="1:16" ht="15.75">
      <c r="C536" s="440"/>
      <c r="D536" s="47"/>
      <c r="E536" s="3"/>
      <c r="F536" s="3"/>
      <c r="G536" s="3"/>
      <c r="H536" s="502"/>
      <c r="I536" s="502"/>
      <c r="J536" s="503"/>
      <c r="K536" s="504" t="s">
        <v>100</v>
      </c>
      <c r="L536" s="505"/>
      <c r="M536" s="3"/>
      <c r="N536" s="506">
        <f>IF(I541=0,0,VLOOKUP(I541,C548:O607,6))</f>
        <v>5752225.1689928342</v>
      </c>
      <c r="O536" s="3"/>
    </row>
    <row r="537" spans="1:16" ht="13.5" thickBot="1">
      <c r="C537" s="507" t="s">
        <v>96</v>
      </c>
      <c r="D537" s="1196" t="s">
        <v>818</v>
      </c>
      <c r="E537" s="1196"/>
      <c r="F537" s="1196"/>
      <c r="G537" s="1196"/>
      <c r="H537" s="1196"/>
      <c r="I537" s="1196"/>
      <c r="J537" s="492"/>
      <c r="K537" s="508" t="s">
        <v>238</v>
      </c>
      <c r="L537" s="509"/>
      <c r="M537" s="509"/>
      <c r="N537" s="510">
        <f>+N536-N535</f>
        <v>0</v>
      </c>
      <c r="O537" s="3"/>
    </row>
    <row r="538" spans="1:16">
      <c r="C538" s="511"/>
      <c r="D538" s="1196"/>
      <c r="E538" s="1196"/>
      <c r="F538" s="1196"/>
      <c r="G538" s="1196"/>
      <c r="H538" s="1196"/>
      <c r="I538" s="1196"/>
      <c r="J538" s="492"/>
      <c r="K538" s="479"/>
      <c r="L538" s="479"/>
      <c r="M538" s="479"/>
      <c r="N538" s="479"/>
      <c r="O538" s="3"/>
    </row>
    <row r="539" spans="1:16" ht="13.5" thickBot="1">
      <c r="C539" s="511"/>
      <c r="D539" s="3"/>
      <c r="E539" s="513"/>
      <c r="F539" s="513"/>
      <c r="G539" s="513"/>
      <c r="H539" s="513"/>
      <c r="I539" s="513"/>
      <c r="J539" s="513"/>
      <c r="K539" s="513"/>
      <c r="L539" s="513"/>
      <c r="M539" s="513"/>
      <c r="N539" s="513"/>
      <c r="O539" s="3"/>
    </row>
    <row r="540" spans="1:16" ht="13.5" thickBot="1">
      <c r="C540" s="514" t="s">
        <v>97</v>
      </c>
      <c r="D540" s="515"/>
      <c r="E540" s="515"/>
      <c r="F540" s="515"/>
      <c r="G540" s="515"/>
      <c r="H540" s="515"/>
      <c r="I540" s="516"/>
      <c r="K540" s="3"/>
      <c r="L540" s="3"/>
      <c r="M540" s="3"/>
      <c r="N540" s="3"/>
      <c r="O540" s="3"/>
    </row>
    <row r="541" spans="1:16" ht="15">
      <c r="C541" s="517" t="s">
        <v>75</v>
      </c>
      <c r="D541" s="557">
        <v>52217631.810000002</v>
      </c>
      <c r="E541" s="3" t="s">
        <v>76</v>
      </c>
      <c r="G541" s="47"/>
      <c r="H541" s="47"/>
      <c r="I541" s="518">
        <f>$L$26</f>
        <v>2026</v>
      </c>
      <c r="J541" s="70"/>
      <c r="K541" s="1186" t="s">
        <v>247</v>
      </c>
      <c r="L541" s="1186"/>
      <c r="M541" s="1186"/>
      <c r="N541" s="1186"/>
      <c r="O541" s="1186"/>
    </row>
    <row r="542" spans="1:16">
      <c r="C542" s="517" t="s">
        <v>78</v>
      </c>
      <c r="D542" s="558">
        <v>2016</v>
      </c>
      <c r="E542" s="517" t="s">
        <v>79</v>
      </c>
      <c r="F542" s="47"/>
      <c r="H542"/>
      <c r="I542" s="559">
        <f>IF(G535="",0,$F$17)</f>
        <v>0</v>
      </c>
      <c r="J542" s="519"/>
      <c r="K542" s="492" t="s">
        <v>247</v>
      </c>
    </row>
    <row r="543" spans="1:16">
      <c r="C543" s="517" t="s">
        <v>80</v>
      </c>
      <c r="D543" s="557">
        <v>12</v>
      </c>
      <c r="E543" s="517" t="s">
        <v>81</v>
      </c>
      <c r="F543" s="47"/>
      <c r="H543"/>
      <c r="I543" s="520">
        <f>$G$70</f>
        <v>0.11191367266500543</v>
      </c>
      <c r="J543" s="478"/>
      <c r="K543" t="str">
        <f>"          INPUT PROJECTED ARR (WITH &amp; WITHOUT INCENTIVES) FROM EACH PRIOR YEAR"</f>
        <v xml:space="preserve">          INPUT PROJECTED ARR (WITH &amp; WITHOUT INCENTIVES) FROM EACH PRIOR YEAR</v>
      </c>
    </row>
    <row r="544" spans="1:16">
      <c r="C544" s="517" t="s">
        <v>82</v>
      </c>
      <c r="D544" s="521">
        <f>$G$79</f>
        <v>36</v>
      </c>
      <c r="E544" s="517" t="s">
        <v>83</v>
      </c>
      <c r="F544" s="47"/>
      <c r="H544"/>
      <c r="I544" s="520">
        <f>IF(G535="",I543,$G$69)</f>
        <v>0.11191367266500543</v>
      </c>
      <c r="J544" s="478"/>
      <c r="K544" t="s">
        <v>160</v>
      </c>
    </row>
    <row r="545" spans="2:15" ht="13.5" thickBot="1">
      <c r="C545" s="517" t="s">
        <v>84</v>
      </c>
      <c r="D545" s="556" t="s">
        <v>810</v>
      </c>
      <c r="E545" s="522" t="s">
        <v>85</v>
      </c>
      <c r="F545" s="523"/>
      <c r="G545" s="524"/>
      <c r="H545" s="524"/>
      <c r="I545" s="510">
        <f>IF(D541=0,0,D541/D544)</f>
        <v>1450489.7725</v>
      </c>
      <c r="J545" s="492"/>
      <c r="K545" s="492" t="s">
        <v>166</v>
      </c>
      <c r="L545" s="492"/>
      <c r="M545" s="492"/>
      <c r="N545" s="492"/>
      <c r="O545" s="3"/>
    </row>
    <row r="546" spans="2:15" ht="51">
      <c r="B546" s="439"/>
      <c r="C546" s="525" t="s">
        <v>75</v>
      </c>
      <c r="D546" s="526" t="s">
        <v>86</v>
      </c>
      <c r="E546" s="527" t="s">
        <v>87</v>
      </c>
      <c r="F546" s="526" t="s">
        <v>88</v>
      </c>
      <c r="G546" s="527" t="s">
        <v>159</v>
      </c>
      <c r="H546" s="528" t="s">
        <v>159</v>
      </c>
      <c r="I546" s="525" t="s">
        <v>98</v>
      </c>
      <c r="J546" s="529"/>
      <c r="K546" s="527" t="s">
        <v>168</v>
      </c>
      <c r="L546" s="530"/>
      <c r="M546" s="527" t="s">
        <v>168</v>
      </c>
      <c r="N546" s="530"/>
      <c r="O546" s="530"/>
    </row>
    <row r="547" spans="2:15" ht="13.5" thickBot="1">
      <c r="C547" s="531" t="s">
        <v>475</v>
      </c>
      <c r="D547" s="532" t="s">
        <v>476</v>
      </c>
      <c r="E547" s="531" t="s">
        <v>369</v>
      </c>
      <c r="F547" s="532" t="s">
        <v>476</v>
      </c>
      <c r="G547" s="533" t="s">
        <v>101</v>
      </c>
      <c r="H547" s="534" t="s">
        <v>103</v>
      </c>
      <c r="I547" s="531" t="s">
        <v>15</v>
      </c>
      <c r="J547" s="535"/>
      <c r="K547" s="533" t="s">
        <v>90</v>
      </c>
      <c r="L547" s="536"/>
      <c r="M547" s="533" t="s">
        <v>103</v>
      </c>
      <c r="N547" s="536"/>
      <c r="O547" s="536"/>
    </row>
    <row r="548" spans="2:15">
      <c r="C548" s="537">
        <f>IF(D542= "","-",D542)</f>
        <v>2016</v>
      </c>
      <c r="D548" s="495">
        <f>+D541</f>
        <v>52217631.810000002</v>
      </c>
      <c r="E548" s="538">
        <f>+I545/12*(12-D543)</f>
        <v>0</v>
      </c>
      <c r="F548" s="495">
        <f>+D548-E548</f>
        <v>52217631.810000002</v>
      </c>
      <c r="G548" s="705">
        <f>+$I$96*((D548+F548)/2)+E548</f>
        <v>5843866.9537261156</v>
      </c>
      <c r="H548" s="706">
        <f>$I$97*((D548+F548)/2)+E548</f>
        <v>5843866.9537261156</v>
      </c>
      <c r="I548" s="541">
        <f>+H548-G548</f>
        <v>0</v>
      </c>
      <c r="J548" s="541"/>
      <c r="K548" s="560">
        <v>5279934</v>
      </c>
      <c r="L548" s="542"/>
      <c r="M548" s="560">
        <v>5279934</v>
      </c>
      <c r="N548" s="542"/>
      <c r="O548" s="542"/>
    </row>
    <row r="549" spans="2:15">
      <c r="C549" s="537">
        <f>IF(D542="","-",+C548+1)</f>
        <v>2017</v>
      </c>
      <c r="D549" s="495">
        <f t="shared" ref="D549:D607" si="30">F548</f>
        <v>52217631.810000002</v>
      </c>
      <c r="E549" s="538">
        <f>IF(D549&gt;$I$545,$I$545,D549)</f>
        <v>1450489.7725</v>
      </c>
      <c r="F549" s="495">
        <f t="shared" ref="F549:F607" si="31">+D549-E549</f>
        <v>50767142.037500001</v>
      </c>
      <c r="G549" s="543">
        <f t="shared" ref="G549:G607" si="32">+$I$96*((D549+F549)/2)+E549</f>
        <v>7213191.9074243633</v>
      </c>
      <c r="H549" s="544">
        <f t="shared" ref="H549:H607" si="33">$I$97*((D549+F549)/2)+E549</f>
        <v>7213191.9074243633</v>
      </c>
      <c r="I549" s="541">
        <f t="shared" ref="I549:I607" si="34">+H549-G549</f>
        <v>0</v>
      </c>
      <c r="J549" s="541"/>
      <c r="K549" s="561">
        <v>5667478</v>
      </c>
      <c r="L549" s="545"/>
      <c r="M549" s="561">
        <v>5667478</v>
      </c>
      <c r="N549" s="545"/>
      <c r="O549" s="545"/>
    </row>
    <row r="550" spans="2:15">
      <c r="C550" s="943">
        <f>IF(D542="","-",+C549+1)</f>
        <v>2018</v>
      </c>
      <c r="D550" s="495">
        <f t="shared" si="30"/>
        <v>50767142.037500001</v>
      </c>
      <c r="E550" s="538">
        <f t="shared" ref="E550:E607" si="35">IF(D550&gt;$I$545,$I$545,D550)</f>
        <v>1450489.7725</v>
      </c>
      <c r="F550" s="495">
        <f t="shared" si="31"/>
        <v>49316652.265000001</v>
      </c>
      <c r="G550" s="543">
        <f t="shared" si="32"/>
        <v>7050862.2698208606</v>
      </c>
      <c r="H550" s="544">
        <f t="shared" si="33"/>
        <v>7050862.2698208606</v>
      </c>
      <c r="I550" s="541">
        <f t="shared" si="34"/>
        <v>0</v>
      </c>
      <c r="J550" s="541"/>
      <c r="K550" s="561">
        <v>4860385</v>
      </c>
      <c r="L550" s="545"/>
      <c r="M550" s="561">
        <v>4860385</v>
      </c>
      <c r="N550" s="545"/>
      <c r="O550" s="545"/>
    </row>
    <row r="551" spans="2:15">
      <c r="C551" s="943">
        <f>IF(D542="","-",+C550+1)</f>
        <v>2019</v>
      </c>
      <c r="D551" s="495">
        <f t="shared" si="30"/>
        <v>49316652.265000001</v>
      </c>
      <c r="E551" s="538">
        <f t="shared" si="35"/>
        <v>1450489.7725</v>
      </c>
      <c r="F551" s="495">
        <f t="shared" si="31"/>
        <v>47866162.4925</v>
      </c>
      <c r="G551" s="543">
        <f t="shared" si="32"/>
        <v>6888532.6322173569</v>
      </c>
      <c r="H551" s="544">
        <f t="shared" si="33"/>
        <v>6888532.6322173569</v>
      </c>
      <c r="I551" s="541">
        <f t="shared" si="34"/>
        <v>0</v>
      </c>
      <c r="J551" s="541"/>
      <c r="K551" s="561">
        <v>6293604.6254710108</v>
      </c>
      <c r="L551" s="545"/>
      <c r="M551" s="561">
        <v>6293604.6254710108</v>
      </c>
      <c r="N551" s="545"/>
      <c r="O551" s="545"/>
    </row>
    <row r="552" spans="2:15">
      <c r="C552" s="943">
        <f>IF(D542="","-",+C551+1)</f>
        <v>2020</v>
      </c>
      <c r="D552" s="495">
        <f t="shared" si="30"/>
        <v>47866162.4925</v>
      </c>
      <c r="E552" s="538">
        <f t="shared" si="35"/>
        <v>1450489.7725</v>
      </c>
      <c r="F552" s="495">
        <f t="shared" si="31"/>
        <v>46415672.719999999</v>
      </c>
      <c r="G552" s="543">
        <f t="shared" si="32"/>
        <v>6726202.9946138542</v>
      </c>
      <c r="H552" s="544">
        <f t="shared" si="33"/>
        <v>6726202.9946138542</v>
      </c>
      <c r="I552" s="541">
        <f t="shared" si="34"/>
        <v>0</v>
      </c>
      <c r="J552" s="541"/>
      <c r="K552" s="561">
        <v>6439770.5705238646</v>
      </c>
      <c r="L552" s="545"/>
      <c r="M552" s="561">
        <v>6439770.5705238646</v>
      </c>
      <c r="N552" s="545"/>
      <c r="O552" s="545"/>
    </row>
    <row r="553" spans="2:15">
      <c r="C553" s="943">
        <f>IF(D542="","-",+C552+1)</f>
        <v>2021</v>
      </c>
      <c r="D553" s="495">
        <f t="shared" si="30"/>
        <v>46415672.719999999</v>
      </c>
      <c r="E553" s="538">
        <f t="shared" si="35"/>
        <v>1450489.7725</v>
      </c>
      <c r="F553" s="495">
        <f t="shared" si="31"/>
        <v>44965182.947499998</v>
      </c>
      <c r="G553" s="543">
        <f t="shared" si="32"/>
        <v>6563873.3570103496</v>
      </c>
      <c r="H553" s="544">
        <f t="shared" si="33"/>
        <v>6563873.3570103496</v>
      </c>
      <c r="I553" s="541">
        <f t="shared" si="34"/>
        <v>0</v>
      </c>
      <c r="J553" s="541"/>
      <c r="K553" s="561">
        <v>6395009.4806452719</v>
      </c>
      <c r="L553" s="545"/>
      <c r="M553" s="561">
        <v>6395009.4806452719</v>
      </c>
      <c r="N553" s="545"/>
      <c r="O553" s="545"/>
    </row>
    <row r="554" spans="2:15">
      <c r="C554" s="943">
        <f>IF(D542="","-",+C553+1)</f>
        <v>2022</v>
      </c>
      <c r="D554" s="495">
        <f t="shared" si="30"/>
        <v>44965182.947499998</v>
      </c>
      <c r="E554" s="538">
        <f t="shared" si="35"/>
        <v>1450489.7725</v>
      </c>
      <c r="F554" s="495">
        <f t="shared" si="31"/>
        <v>43514693.174999997</v>
      </c>
      <c r="G554" s="543">
        <f t="shared" si="32"/>
        <v>6401543.7194068478</v>
      </c>
      <c r="H554" s="544">
        <f t="shared" si="33"/>
        <v>6401543.7194068478</v>
      </c>
      <c r="I554" s="541">
        <f t="shared" si="34"/>
        <v>0</v>
      </c>
      <c r="J554" s="541"/>
      <c r="K554" s="561">
        <v>6489459.8518816978</v>
      </c>
      <c r="L554" s="545"/>
      <c r="M554" s="561">
        <v>6489459.8518816978</v>
      </c>
      <c r="N554" s="545"/>
      <c r="O554" s="545"/>
    </row>
    <row r="555" spans="2:15">
      <c r="C555" s="537">
        <f>IF(D542="","-",+C554+1)</f>
        <v>2023</v>
      </c>
      <c r="D555" s="495">
        <f t="shared" si="30"/>
        <v>43514693.174999997</v>
      </c>
      <c r="E555" s="538">
        <f t="shared" si="35"/>
        <v>1450489.7725</v>
      </c>
      <c r="F555" s="495">
        <f t="shared" si="31"/>
        <v>42064203.402499996</v>
      </c>
      <c r="G555" s="543">
        <f t="shared" si="32"/>
        <v>6239214.0818033433</v>
      </c>
      <c r="H555" s="544">
        <f t="shared" si="33"/>
        <v>6239214.0818033433</v>
      </c>
      <c r="I555" s="541">
        <f t="shared" si="34"/>
        <v>0</v>
      </c>
      <c r="J555" s="541"/>
      <c r="K555" s="561">
        <v>6325162.6966999378</v>
      </c>
      <c r="L555" s="545"/>
      <c r="M555" s="561">
        <v>6325162.6966999378</v>
      </c>
      <c r="N555" s="545"/>
      <c r="O555" s="545"/>
    </row>
    <row r="556" spans="2:15">
      <c r="C556" s="537">
        <f>IF(D542="","-",+C555+1)</f>
        <v>2024</v>
      </c>
      <c r="D556" s="495">
        <f t="shared" si="30"/>
        <v>42064203.402499996</v>
      </c>
      <c r="E556" s="538">
        <f t="shared" si="35"/>
        <v>1450489.7725</v>
      </c>
      <c r="F556" s="495">
        <f t="shared" si="31"/>
        <v>40613713.629999995</v>
      </c>
      <c r="G556" s="543">
        <f t="shared" si="32"/>
        <v>6076884.4441998415</v>
      </c>
      <c r="H556" s="544">
        <f t="shared" si="33"/>
        <v>6076884.4441998415</v>
      </c>
      <c r="I556" s="541">
        <f t="shared" si="34"/>
        <v>0</v>
      </c>
      <c r="J556" s="541"/>
      <c r="K556" s="561">
        <v>6138203.9454350602</v>
      </c>
      <c r="L556" s="545"/>
      <c r="M556" s="561">
        <v>6138203.9454350602</v>
      </c>
      <c r="N556" s="545"/>
      <c r="O556" s="545"/>
    </row>
    <row r="557" spans="2:15">
      <c r="C557" s="537">
        <f>IF(D542="","-",+C556+1)</f>
        <v>2025</v>
      </c>
      <c r="D557" s="495">
        <f t="shared" si="30"/>
        <v>40613713.629999995</v>
      </c>
      <c r="E557" s="538">
        <f t="shared" si="35"/>
        <v>1450489.7725</v>
      </c>
      <c r="F557" s="495">
        <f t="shared" si="31"/>
        <v>39163223.857499994</v>
      </c>
      <c r="G557" s="543">
        <f t="shared" si="32"/>
        <v>5914554.8065963369</v>
      </c>
      <c r="H557" s="544">
        <f t="shared" si="33"/>
        <v>5914554.8065963369</v>
      </c>
      <c r="I557" s="541">
        <f t="shared" si="34"/>
        <v>0</v>
      </c>
      <c r="J557" s="541"/>
      <c r="K557" s="561">
        <v>6034650.3718772018</v>
      </c>
      <c r="L557" s="545"/>
      <c r="M557" s="561">
        <v>6034650.3718772018</v>
      </c>
      <c r="N557" s="545"/>
      <c r="O557" s="545"/>
    </row>
    <row r="558" spans="2:15">
      <c r="C558" s="935">
        <f>IF(D542="","-",+C557+1)</f>
        <v>2026</v>
      </c>
      <c r="D558" s="495">
        <f t="shared" si="30"/>
        <v>39163223.857499994</v>
      </c>
      <c r="E558" s="538">
        <f t="shared" si="35"/>
        <v>1450489.7725</v>
      </c>
      <c r="F558" s="495">
        <f t="shared" si="31"/>
        <v>37712734.084999993</v>
      </c>
      <c r="G558" s="543">
        <f t="shared" si="32"/>
        <v>5752225.1689928342</v>
      </c>
      <c r="H558" s="544">
        <f t="shared" si="33"/>
        <v>5752225.1689928342</v>
      </c>
      <c r="I558" s="541">
        <f t="shared" si="34"/>
        <v>0</v>
      </c>
      <c r="J558" s="541"/>
      <c r="K558" s="561"/>
      <c r="L558" s="545"/>
      <c r="M558" s="561"/>
      <c r="N558" s="545"/>
      <c r="O558" s="545"/>
    </row>
    <row r="559" spans="2:15">
      <c r="C559" s="537">
        <f>IF(D542="","-",+C558+1)</f>
        <v>2027</v>
      </c>
      <c r="D559" s="495">
        <f t="shared" si="30"/>
        <v>37712734.084999993</v>
      </c>
      <c r="E559" s="538">
        <f t="shared" si="35"/>
        <v>1450489.7725</v>
      </c>
      <c r="F559" s="495">
        <f t="shared" si="31"/>
        <v>36262244.312499993</v>
      </c>
      <c r="G559" s="543">
        <f t="shared" si="32"/>
        <v>5589895.5313893305</v>
      </c>
      <c r="H559" s="544">
        <f t="shared" si="33"/>
        <v>5589895.5313893305</v>
      </c>
      <c r="I559" s="541">
        <f t="shared" si="34"/>
        <v>0</v>
      </c>
      <c r="J559" s="541"/>
      <c r="K559" s="561"/>
      <c r="L559" s="545"/>
      <c r="M559" s="561"/>
      <c r="N559" s="545"/>
      <c r="O559" s="545"/>
    </row>
    <row r="560" spans="2:15">
      <c r="C560" s="537">
        <f>IF(D542="","-",+C559+1)</f>
        <v>2028</v>
      </c>
      <c r="D560" s="495">
        <f t="shared" si="30"/>
        <v>36262244.312499993</v>
      </c>
      <c r="E560" s="538">
        <f t="shared" si="35"/>
        <v>1450489.7725</v>
      </c>
      <c r="F560" s="495">
        <f t="shared" si="31"/>
        <v>34811754.539999992</v>
      </c>
      <c r="G560" s="543">
        <f t="shared" si="32"/>
        <v>5427565.8937858278</v>
      </c>
      <c r="H560" s="544">
        <f t="shared" si="33"/>
        <v>5427565.8937858278</v>
      </c>
      <c r="I560" s="541">
        <f t="shared" si="34"/>
        <v>0</v>
      </c>
      <c r="J560" s="541"/>
      <c r="K560" s="561"/>
      <c r="L560" s="545"/>
      <c r="M560" s="561"/>
      <c r="N560" s="546"/>
      <c r="O560" s="545"/>
    </row>
    <row r="561" spans="3:15">
      <c r="C561" s="537">
        <f>IF(D542="","-",+C560+1)</f>
        <v>2029</v>
      </c>
      <c r="D561" s="495">
        <f t="shared" si="30"/>
        <v>34811754.539999992</v>
      </c>
      <c r="E561" s="538">
        <f t="shared" si="35"/>
        <v>1450489.7725</v>
      </c>
      <c r="F561" s="495">
        <f t="shared" si="31"/>
        <v>33361264.767499991</v>
      </c>
      <c r="G561" s="543">
        <f t="shared" si="32"/>
        <v>5265236.2561823241</v>
      </c>
      <c r="H561" s="544">
        <f t="shared" si="33"/>
        <v>5265236.2561823241</v>
      </c>
      <c r="I561" s="541">
        <f t="shared" si="34"/>
        <v>0</v>
      </c>
      <c r="J561" s="541"/>
      <c r="K561" s="561"/>
      <c r="L561" s="545"/>
      <c r="M561" s="561"/>
      <c r="N561" s="545"/>
      <c r="O561" s="545"/>
    </row>
    <row r="562" spans="3:15">
      <c r="C562" s="537">
        <f>IF(D542="","-",+C561+1)</f>
        <v>2030</v>
      </c>
      <c r="D562" s="495">
        <f t="shared" si="30"/>
        <v>33361264.767499991</v>
      </c>
      <c r="E562" s="538">
        <f t="shared" si="35"/>
        <v>1450489.7725</v>
      </c>
      <c r="F562" s="495">
        <f t="shared" si="31"/>
        <v>31910774.99499999</v>
      </c>
      <c r="G562" s="543">
        <f t="shared" si="32"/>
        <v>5102906.6185788214</v>
      </c>
      <c r="H562" s="544">
        <f t="shared" si="33"/>
        <v>5102906.6185788214</v>
      </c>
      <c r="I562" s="541">
        <f t="shared" si="34"/>
        <v>0</v>
      </c>
      <c r="J562" s="541"/>
      <c r="K562" s="561"/>
      <c r="L562" s="545"/>
      <c r="M562" s="561"/>
      <c r="N562" s="545"/>
      <c r="O562" s="545"/>
    </row>
    <row r="563" spans="3:15">
      <c r="C563" s="537">
        <f>IF(D542="","-",+C562+1)</f>
        <v>2031</v>
      </c>
      <c r="D563" s="495">
        <f t="shared" si="30"/>
        <v>31910774.99499999</v>
      </c>
      <c r="E563" s="538">
        <f t="shared" si="35"/>
        <v>1450489.7725</v>
      </c>
      <c r="F563" s="495">
        <f t="shared" si="31"/>
        <v>30460285.222499989</v>
      </c>
      <c r="G563" s="543">
        <f t="shared" si="32"/>
        <v>4940576.9809753168</v>
      </c>
      <c r="H563" s="544">
        <f t="shared" si="33"/>
        <v>4940576.9809753168</v>
      </c>
      <c r="I563" s="541">
        <f t="shared" si="34"/>
        <v>0</v>
      </c>
      <c r="J563" s="541"/>
      <c r="K563" s="561"/>
      <c r="L563" s="545"/>
      <c r="M563" s="561"/>
      <c r="N563" s="545"/>
      <c r="O563" s="545"/>
    </row>
    <row r="564" spans="3:15">
      <c r="C564" s="537">
        <f>IF(D542="","-",+C563+1)</f>
        <v>2032</v>
      </c>
      <c r="D564" s="495">
        <f t="shared" si="30"/>
        <v>30460285.222499989</v>
      </c>
      <c r="E564" s="538">
        <f t="shared" si="35"/>
        <v>1450489.7725</v>
      </c>
      <c r="F564" s="495">
        <f t="shared" si="31"/>
        <v>29009795.449999988</v>
      </c>
      <c r="G564" s="543">
        <f t="shared" si="32"/>
        <v>4778247.3433718141</v>
      </c>
      <c r="H564" s="544">
        <f t="shared" si="33"/>
        <v>4778247.3433718141</v>
      </c>
      <c r="I564" s="541">
        <f t="shared" si="34"/>
        <v>0</v>
      </c>
      <c r="J564" s="541"/>
      <c r="K564" s="561"/>
      <c r="L564" s="545"/>
      <c r="M564" s="561"/>
      <c r="N564" s="545"/>
      <c r="O564" s="545"/>
    </row>
    <row r="565" spans="3:15">
      <c r="C565" s="537">
        <f>IF(D542="","-",+C564+1)</f>
        <v>2033</v>
      </c>
      <c r="D565" s="495">
        <f t="shared" si="30"/>
        <v>29009795.449999988</v>
      </c>
      <c r="E565" s="538">
        <f t="shared" si="35"/>
        <v>1450489.7725</v>
      </c>
      <c r="F565" s="495">
        <f t="shared" si="31"/>
        <v>27559305.677499987</v>
      </c>
      <c r="G565" s="543">
        <f t="shared" si="32"/>
        <v>4615917.7057683114</v>
      </c>
      <c r="H565" s="544">
        <f t="shared" si="33"/>
        <v>4615917.7057683114</v>
      </c>
      <c r="I565" s="541">
        <f t="shared" si="34"/>
        <v>0</v>
      </c>
      <c r="J565" s="541"/>
      <c r="K565" s="561"/>
      <c r="L565" s="545"/>
      <c r="M565" s="561"/>
      <c r="N565" s="545"/>
      <c r="O565" s="545"/>
    </row>
    <row r="566" spans="3:15">
      <c r="C566" s="537">
        <f>IF(D542="","-",+C565+1)</f>
        <v>2034</v>
      </c>
      <c r="D566" s="495">
        <f t="shared" si="30"/>
        <v>27559305.677499987</v>
      </c>
      <c r="E566" s="538">
        <f t="shared" si="35"/>
        <v>1450489.7725</v>
      </c>
      <c r="F566" s="495">
        <f t="shared" si="31"/>
        <v>26108815.904999986</v>
      </c>
      <c r="G566" s="543">
        <f t="shared" si="32"/>
        <v>4453588.0681648077</v>
      </c>
      <c r="H566" s="544">
        <f t="shared" si="33"/>
        <v>4453588.0681648077</v>
      </c>
      <c r="I566" s="541">
        <f t="shared" si="34"/>
        <v>0</v>
      </c>
      <c r="J566" s="541"/>
      <c r="K566" s="561"/>
      <c r="L566" s="545"/>
      <c r="M566" s="561"/>
      <c r="N566" s="545"/>
      <c r="O566" s="545"/>
    </row>
    <row r="567" spans="3:15">
      <c r="C567" s="537">
        <f>IF(D542="","-",+C566+1)</f>
        <v>2035</v>
      </c>
      <c r="D567" s="495">
        <f t="shared" si="30"/>
        <v>26108815.904999986</v>
      </c>
      <c r="E567" s="538">
        <f t="shared" si="35"/>
        <v>1450489.7725</v>
      </c>
      <c r="F567" s="495">
        <f t="shared" si="31"/>
        <v>24658326.132499985</v>
      </c>
      <c r="G567" s="543">
        <f t="shared" si="32"/>
        <v>4291258.4305613041</v>
      </c>
      <c r="H567" s="544">
        <f t="shared" si="33"/>
        <v>4291258.4305613041</v>
      </c>
      <c r="I567" s="541">
        <f t="shared" si="34"/>
        <v>0</v>
      </c>
      <c r="J567" s="541"/>
      <c r="K567" s="561"/>
      <c r="L567" s="545"/>
      <c r="M567" s="561"/>
      <c r="N567" s="545"/>
      <c r="O567" s="545"/>
    </row>
    <row r="568" spans="3:15">
      <c r="C568" s="537">
        <f>IF(D542="","-",+C567+1)</f>
        <v>2036</v>
      </c>
      <c r="D568" s="495">
        <f t="shared" si="30"/>
        <v>24658326.132499985</v>
      </c>
      <c r="E568" s="538">
        <f t="shared" si="35"/>
        <v>1450489.7725</v>
      </c>
      <c r="F568" s="495">
        <f t="shared" si="31"/>
        <v>23207836.359999985</v>
      </c>
      <c r="G568" s="543">
        <f t="shared" si="32"/>
        <v>4128928.7929578009</v>
      </c>
      <c r="H568" s="544">
        <f t="shared" si="33"/>
        <v>4128928.7929578009</v>
      </c>
      <c r="I568" s="541">
        <f t="shared" si="34"/>
        <v>0</v>
      </c>
      <c r="J568" s="541"/>
      <c r="K568" s="561"/>
      <c r="L568" s="545"/>
      <c r="M568" s="561"/>
      <c r="N568" s="545"/>
      <c r="O568" s="545"/>
    </row>
    <row r="569" spans="3:15">
      <c r="C569" s="537">
        <f>IF(D542="","-",+C568+1)</f>
        <v>2037</v>
      </c>
      <c r="D569" s="495">
        <f t="shared" si="30"/>
        <v>23207836.359999985</v>
      </c>
      <c r="E569" s="538">
        <f t="shared" si="35"/>
        <v>1450489.7725</v>
      </c>
      <c r="F569" s="495">
        <f t="shared" si="31"/>
        <v>21757346.587499984</v>
      </c>
      <c r="G569" s="543">
        <f t="shared" si="32"/>
        <v>3966599.1553542977</v>
      </c>
      <c r="H569" s="544">
        <f t="shared" si="33"/>
        <v>3966599.1553542977</v>
      </c>
      <c r="I569" s="541">
        <f t="shared" si="34"/>
        <v>0</v>
      </c>
      <c r="J569" s="541"/>
      <c r="K569" s="561"/>
      <c r="L569" s="545"/>
      <c r="M569" s="561"/>
      <c r="N569" s="545"/>
      <c r="O569" s="545"/>
    </row>
    <row r="570" spans="3:15">
      <c r="C570" s="537">
        <f>IF(D542="","-",+C569+1)</f>
        <v>2038</v>
      </c>
      <c r="D570" s="495">
        <f t="shared" si="30"/>
        <v>21757346.587499984</v>
      </c>
      <c r="E570" s="538">
        <f t="shared" si="35"/>
        <v>1450489.7725</v>
      </c>
      <c r="F570" s="495">
        <f t="shared" si="31"/>
        <v>20306856.814999983</v>
      </c>
      <c r="G570" s="543">
        <f t="shared" si="32"/>
        <v>3804269.5177507945</v>
      </c>
      <c r="H570" s="544">
        <f t="shared" si="33"/>
        <v>3804269.5177507945</v>
      </c>
      <c r="I570" s="541">
        <f t="shared" si="34"/>
        <v>0</v>
      </c>
      <c r="J570" s="541"/>
      <c r="K570" s="561"/>
      <c r="L570" s="545"/>
      <c r="M570" s="561"/>
      <c r="N570" s="545"/>
      <c r="O570" s="545"/>
    </row>
    <row r="571" spans="3:15">
      <c r="C571" s="537">
        <f>IF(D542="","-",+C570+1)</f>
        <v>2039</v>
      </c>
      <c r="D571" s="495">
        <f t="shared" si="30"/>
        <v>20306856.814999983</v>
      </c>
      <c r="E571" s="538">
        <f t="shared" si="35"/>
        <v>1450489.7725</v>
      </c>
      <c r="F571" s="495">
        <f t="shared" si="31"/>
        <v>18856367.042499982</v>
      </c>
      <c r="G571" s="543">
        <f t="shared" si="32"/>
        <v>3641939.8801472913</v>
      </c>
      <c r="H571" s="544">
        <f t="shared" si="33"/>
        <v>3641939.8801472913</v>
      </c>
      <c r="I571" s="541">
        <f t="shared" si="34"/>
        <v>0</v>
      </c>
      <c r="J571" s="541"/>
      <c r="K571" s="561"/>
      <c r="L571" s="545"/>
      <c r="M571" s="561"/>
      <c r="N571" s="545"/>
      <c r="O571" s="545"/>
    </row>
    <row r="572" spans="3:15">
      <c r="C572" s="537">
        <f>IF(D542="","-",+C571+1)</f>
        <v>2040</v>
      </c>
      <c r="D572" s="495">
        <f t="shared" si="30"/>
        <v>18856367.042499982</v>
      </c>
      <c r="E572" s="538">
        <f t="shared" si="35"/>
        <v>1450489.7725</v>
      </c>
      <c r="F572" s="495">
        <f t="shared" si="31"/>
        <v>17405877.269999981</v>
      </c>
      <c r="G572" s="543">
        <f t="shared" si="32"/>
        <v>3479610.2425437877</v>
      </c>
      <c r="H572" s="544">
        <f t="shared" si="33"/>
        <v>3479610.2425437877</v>
      </c>
      <c r="I572" s="541">
        <f t="shared" si="34"/>
        <v>0</v>
      </c>
      <c r="J572" s="541"/>
      <c r="K572" s="561"/>
      <c r="L572" s="545"/>
      <c r="M572" s="561"/>
      <c r="N572" s="545"/>
      <c r="O572" s="545"/>
    </row>
    <row r="573" spans="3:15">
      <c r="C573" s="537">
        <f>IF(D542="","-",+C572+1)</f>
        <v>2041</v>
      </c>
      <c r="D573" s="495">
        <f t="shared" si="30"/>
        <v>17405877.269999981</v>
      </c>
      <c r="E573" s="538">
        <f t="shared" si="35"/>
        <v>1450489.7725</v>
      </c>
      <c r="F573" s="495">
        <f t="shared" si="31"/>
        <v>15955387.49749998</v>
      </c>
      <c r="G573" s="543">
        <f t="shared" si="32"/>
        <v>3317280.6049402845</v>
      </c>
      <c r="H573" s="544">
        <f t="shared" si="33"/>
        <v>3317280.6049402845</v>
      </c>
      <c r="I573" s="541">
        <f t="shared" si="34"/>
        <v>0</v>
      </c>
      <c r="J573" s="541"/>
      <c r="K573" s="561"/>
      <c r="L573" s="545"/>
      <c r="M573" s="561"/>
      <c r="N573" s="545"/>
      <c r="O573" s="545"/>
    </row>
    <row r="574" spans="3:15">
      <c r="C574" s="537">
        <f>IF(D542="","-",+C573+1)</f>
        <v>2042</v>
      </c>
      <c r="D574" s="495">
        <f t="shared" si="30"/>
        <v>15955387.49749998</v>
      </c>
      <c r="E574" s="538">
        <f t="shared" si="35"/>
        <v>1450489.7725</v>
      </c>
      <c r="F574" s="495">
        <f t="shared" si="31"/>
        <v>14504897.724999979</v>
      </c>
      <c r="G574" s="543">
        <f t="shared" si="32"/>
        <v>3154950.9673367813</v>
      </c>
      <c r="H574" s="544">
        <f t="shared" si="33"/>
        <v>3154950.9673367813</v>
      </c>
      <c r="I574" s="541">
        <f t="shared" si="34"/>
        <v>0</v>
      </c>
      <c r="J574" s="541"/>
      <c r="K574" s="561"/>
      <c r="L574" s="545"/>
      <c r="M574" s="561"/>
      <c r="N574" s="545"/>
      <c r="O574" s="545"/>
    </row>
    <row r="575" spans="3:15">
      <c r="C575" s="537">
        <f>IF(D542="","-",+C574+1)</f>
        <v>2043</v>
      </c>
      <c r="D575" s="495">
        <f t="shared" si="30"/>
        <v>14504897.724999979</v>
      </c>
      <c r="E575" s="538">
        <f t="shared" si="35"/>
        <v>1450489.7725</v>
      </c>
      <c r="F575" s="495">
        <f t="shared" si="31"/>
        <v>13054407.952499978</v>
      </c>
      <c r="G575" s="543">
        <f t="shared" si="32"/>
        <v>2992621.3297332777</v>
      </c>
      <c r="H575" s="544">
        <f t="shared" si="33"/>
        <v>2992621.3297332777</v>
      </c>
      <c r="I575" s="541">
        <f t="shared" si="34"/>
        <v>0</v>
      </c>
      <c r="J575" s="541"/>
      <c r="K575" s="561"/>
      <c r="L575" s="545"/>
      <c r="M575" s="561"/>
      <c r="N575" s="545"/>
      <c r="O575" s="545"/>
    </row>
    <row r="576" spans="3:15">
      <c r="C576" s="537">
        <f>IF(D542="","-",+C575+1)</f>
        <v>2044</v>
      </c>
      <c r="D576" s="495">
        <f t="shared" si="30"/>
        <v>13054407.952499978</v>
      </c>
      <c r="E576" s="538">
        <f t="shared" si="35"/>
        <v>1450489.7725</v>
      </c>
      <c r="F576" s="495">
        <f t="shared" si="31"/>
        <v>11603918.179999977</v>
      </c>
      <c r="G576" s="539">
        <f t="shared" si="32"/>
        <v>2830291.692129775</v>
      </c>
      <c r="H576" s="544">
        <f t="shared" si="33"/>
        <v>2830291.692129775</v>
      </c>
      <c r="I576" s="541">
        <f t="shared" si="34"/>
        <v>0</v>
      </c>
      <c r="J576" s="541"/>
      <c r="K576" s="561"/>
      <c r="L576" s="545"/>
      <c r="M576" s="561"/>
      <c r="N576" s="545"/>
      <c r="O576" s="545"/>
    </row>
    <row r="577" spans="3:15">
      <c r="C577" s="537">
        <f>IF(D542="","-",+C576+1)</f>
        <v>2045</v>
      </c>
      <c r="D577" s="495">
        <f t="shared" si="30"/>
        <v>11603918.179999977</v>
      </c>
      <c r="E577" s="538">
        <f t="shared" si="35"/>
        <v>1450489.7725</v>
      </c>
      <c r="F577" s="495">
        <f t="shared" si="31"/>
        <v>10153428.407499976</v>
      </c>
      <c r="G577" s="543">
        <f t="shared" si="32"/>
        <v>2667962.0545262713</v>
      </c>
      <c r="H577" s="544">
        <f t="shared" si="33"/>
        <v>2667962.0545262713</v>
      </c>
      <c r="I577" s="541">
        <f t="shared" si="34"/>
        <v>0</v>
      </c>
      <c r="J577" s="541"/>
      <c r="K577" s="561"/>
      <c r="L577" s="545"/>
      <c r="M577" s="561"/>
      <c r="N577" s="545"/>
      <c r="O577" s="545"/>
    </row>
    <row r="578" spans="3:15">
      <c r="C578" s="537">
        <f>IF(D542="","-",+C577+1)</f>
        <v>2046</v>
      </c>
      <c r="D578" s="495">
        <f t="shared" si="30"/>
        <v>10153428.407499976</v>
      </c>
      <c r="E578" s="538">
        <f t="shared" si="35"/>
        <v>1450489.7725</v>
      </c>
      <c r="F578" s="495">
        <f t="shared" si="31"/>
        <v>8702938.6349999756</v>
      </c>
      <c r="G578" s="543">
        <f t="shared" si="32"/>
        <v>2505632.4169227681</v>
      </c>
      <c r="H578" s="544">
        <f t="shared" si="33"/>
        <v>2505632.4169227681</v>
      </c>
      <c r="I578" s="541">
        <f t="shared" si="34"/>
        <v>0</v>
      </c>
      <c r="J578" s="541"/>
      <c r="K578" s="561"/>
      <c r="L578" s="545"/>
      <c r="M578" s="561"/>
      <c r="N578" s="545"/>
      <c r="O578" s="545"/>
    </row>
    <row r="579" spans="3:15">
      <c r="C579" s="537">
        <f>IF(D542="","-",+C578+1)</f>
        <v>2047</v>
      </c>
      <c r="D579" s="495">
        <f t="shared" si="30"/>
        <v>8702938.6349999756</v>
      </c>
      <c r="E579" s="538">
        <f t="shared" si="35"/>
        <v>1450489.7725</v>
      </c>
      <c r="F579" s="495">
        <f t="shared" si="31"/>
        <v>7252448.8624999756</v>
      </c>
      <c r="G579" s="543">
        <f t="shared" si="32"/>
        <v>2343302.7793192649</v>
      </c>
      <c r="H579" s="544">
        <f t="shared" si="33"/>
        <v>2343302.7793192649</v>
      </c>
      <c r="I579" s="541">
        <f t="shared" si="34"/>
        <v>0</v>
      </c>
      <c r="J579" s="541"/>
      <c r="K579" s="561"/>
      <c r="L579" s="545"/>
      <c r="M579" s="561"/>
      <c r="N579" s="545"/>
      <c r="O579" s="545"/>
    </row>
    <row r="580" spans="3:15">
      <c r="C580" s="537">
        <f>IF(D542="","-",+C579+1)</f>
        <v>2048</v>
      </c>
      <c r="D580" s="495">
        <f t="shared" si="30"/>
        <v>7252448.8624999756</v>
      </c>
      <c r="E580" s="538">
        <f t="shared" si="35"/>
        <v>1450489.7725</v>
      </c>
      <c r="F580" s="495">
        <f t="shared" si="31"/>
        <v>5801959.0899999756</v>
      </c>
      <c r="G580" s="543">
        <f t="shared" si="32"/>
        <v>2180973.1417157617</v>
      </c>
      <c r="H580" s="544">
        <f t="shared" si="33"/>
        <v>2180973.1417157617</v>
      </c>
      <c r="I580" s="541">
        <f t="shared" si="34"/>
        <v>0</v>
      </c>
      <c r="J580" s="541"/>
      <c r="K580" s="561"/>
      <c r="L580" s="545"/>
      <c r="M580" s="561"/>
      <c r="N580" s="545"/>
      <c r="O580" s="545"/>
    </row>
    <row r="581" spans="3:15">
      <c r="C581" s="537">
        <f>IF(D542="","-",+C580+1)</f>
        <v>2049</v>
      </c>
      <c r="D581" s="495">
        <f t="shared" si="30"/>
        <v>5801959.0899999756</v>
      </c>
      <c r="E581" s="538">
        <f t="shared" si="35"/>
        <v>1450489.7725</v>
      </c>
      <c r="F581" s="495">
        <f t="shared" si="31"/>
        <v>4351469.3174999757</v>
      </c>
      <c r="G581" s="543">
        <f t="shared" si="32"/>
        <v>2018643.5041122583</v>
      </c>
      <c r="H581" s="544">
        <f t="shared" si="33"/>
        <v>2018643.5041122583</v>
      </c>
      <c r="I581" s="541">
        <f t="shared" si="34"/>
        <v>0</v>
      </c>
      <c r="J581" s="541"/>
      <c r="K581" s="561"/>
      <c r="L581" s="545"/>
      <c r="M581" s="561"/>
      <c r="N581" s="545"/>
      <c r="O581" s="545"/>
    </row>
    <row r="582" spans="3:15">
      <c r="C582" s="537">
        <f>IF(D542="","-",+C581+1)</f>
        <v>2050</v>
      </c>
      <c r="D582" s="495">
        <f t="shared" si="30"/>
        <v>4351469.3174999757</v>
      </c>
      <c r="E582" s="538">
        <f t="shared" si="35"/>
        <v>1450489.7725</v>
      </c>
      <c r="F582" s="495">
        <f t="shared" si="31"/>
        <v>2900979.5449999757</v>
      </c>
      <c r="G582" s="543">
        <f t="shared" si="32"/>
        <v>1856313.8665087554</v>
      </c>
      <c r="H582" s="544">
        <f t="shared" si="33"/>
        <v>1856313.8665087554</v>
      </c>
      <c r="I582" s="541">
        <f t="shared" si="34"/>
        <v>0</v>
      </c>
      <c r="J582" s="541"/>
      <c r="K582" s="561"/>
      <c r="L582" s="545"/>
      <c r="M582" s="561"/>
      <c r="N582" s="545"/>
      <c r="O582" s="545"/>
    </row>
    <row r="583" spans="3:15">
      <c r="C583" s="537">
        <f>IF(D542="","-",+C582+1)</f>
        <v>2051</v>
      </c>
      <c r="D583" s="495">
        <f t="shared" si="30"/>
        <v>2900979.5449999757</v>
      </c>
      <c r="E583" s="538">
        <f t="shared" si="35"/>
        <v>1450489.7725</v>
      </c>
      <c r="F583" s="495">
        <f t="shared" si="31"/>
        <v>1450489.7724999757</v>
      </c>
      <c r="G583" s="543">
        <f t="shared" si="32"/>
        <v>1693984.2289052519</v>
      </c>
      <c r="H583" s="544">
        <f t="shared" si="33"/>
        <v>1693984.2289052519</v>
      </c>
      <c r="I583" s="541">
        <f t="shared" si="34"/>
        <v>0</v>
      </c>
      <c r="J583" s="541"/>
      <c r="K583" s="561"/>
      <c r="L583" s="545"/>
      <c r="M583" s="561"/>
      <c r="N583" s="545"/>
      <c r="O583" s="545"/>
    </row>
    <row r="584" spans="3:15">
      <c r="C584" s="537">
        <f>IF(D542="","-",+C583+1)</f>
        <v>2052</v>
      </c>
      <c r="D584" s="495">
        <f t="shared" si="30"/>
        <v>1450489.7724999757</v>
      </c>
      <c r="E584" s="538">
        <f t="shared" si="35"/>
        <v>1450489.7724999757</v>
      </c>
      <c r="F584" s="495">
        <f t="shared" si="31"/>
        <v>0</v>
      </c>
      <c r="G584" s="543">
        <f t="shared" si="32"/>
        <v>1531654.5913017259</v>
      </c>
      <c r="H584" s="544">
        <f t="shared" si="33"/>
        <v>1531654.5913017259</v>
      </c>
      <c r="I584" s="541">
        <f t="shared" si="34"/>
        <v>0</v>
      </c>
      <c r="J584" s="541"/>
      <c r="K584" s="561"/>
      <c r="L584" s="545"/>
      <c r="M584" s="561"/>
      <c r="N584" s="545"/>
      <c r="O584" s="545"/>
    </row>
    <row r="585" spans="3:15">
      <c r="C585" s="537">
        <f>IF(D542="","-",+C584+1)</f>
        <v>2053</v>
      </c>
      <c r="D585" s="495">
        <f t="shared" si="30"/>
        <v>0</v>
      </c>
      <c r="E585" s="538">
        <f t="shared" si="35"/>
        <v>0</v>
      </c>
      <c r="F585" s="495">
        <f t="shared" si="31"/>
        <v>0</v>
      </c>
      <c r="G585" s="543">
        <f t="shared" si="32"/>
        <v>0</v>
      </c>
      <c r="H585" s="544">
        <f t="shared" si="33"/>
        <v>0</v>
      </c>
      <c r="I585" s="541">
        <f t="shared" si="34"/>
        <v>0</v>
      </c>
      <c r="J585" s="541"/>
      <c r="K585" s="561"/>
      <c r="L585" s="545"/>
      <c r="M585" s="561"/>
      <c r="N585" s="545"/>
      <c r="O585" s="545"/>
    </row>
    <row r="586" spans="3:15">
      <c r="C586" s="537">
        <f>IF(D542="","-",+C585+1)</f>
        <v>2054</v>
      </c>
      <c r="D586" s="495">
        <f t="shared" si="30"/>
        <v>0</v>
      </c>
      <c r="E586" s="538">
        <f t="shared" si="35"/>
        <v>0</v>
      </c>
      <c r="F586" s="495">
        <f t="shared" si="31"/>
        <v>0</v>
      </c>
      <c r="G586" s="543">
        <f t="shared" si="32"/>
        <v>0</v>
      </c>
      <c r="H586" s="544">
        <f t="shared" si="33"/>
        <v>0</v>
      </c>
      <c r="I586" s="541">
        <f t="shared" si="34"/>
        <v>0</v>
      </c>
      <c r="J586" s="541"/>
      <c r="K586" s="561"/>
      <c r="L586" s="545"/>
      <c r="M586" s="561"/>
      <c r="N586" s="545"/>
      <c r="O586" s="545"/>
    </row>
    <row r="587" spans="3:15">
      <c r="C587" s="537">
        <f>IF(D542="","-",+C586+1)</f>
        <v>2055</v>
      </c>
      <c r="D587" s="495">
        <f t="shared" si="30"/>
        <v>0</v>
      </c>
      <c r="E587" s="538">
        <f t="shared" si="35"/>
        <v>0</v>
      </c>
      <c r="F587" s="495">
        <f t="shared" si="31"/>
        <v>0</v>
      </c>
      <c r="G587" s="543">
        <f t="shared" si="32"/>
        <v>0</v>
      </c>
      <c r="H587" s="544">
        <f t="shared" si="33"/>
        <v>0</v>
      </c>
      <c r="I587" s="541">
        <f t="shared" si="34"/>
        <v>0</v>
      </c>
      <c r="J587" s="541"/>
      <c r="K587" s="561"/>
      <c r="L587" s="545"/>
      <c r="M587" s="561"/>
      <c r="N587" s="545"/>
      <c r="O587" s="545"/>
    </row>
    <row r="588" spans="3:15">
      <c r="C588" s="537">
        <f>IF(D542="","-",+C587+1)</f>
        <v>2056</v>
      </c>
      <c r="D588" s="495">
        <f t="shared" si="30"/>
        <v>0</v>
      </c>
      <c r="E588" s="538">
        <f t="shared" si="35"/>
        <v>0</v>
      </c>
      <c r="F588" s="495">
        <f t="shared" si="31"/>
        <v>0</v>
      </c>
      <c r="G588" s="543">
        <f t="shared" si="32"/>
        <v>0</v>
      </c>
      <c r="H588" s="544">
        <f t="shared" si="33"/>
        <v>0</v>
      </c>
      <c r="I588" s="541">
        <f t="shared" si="34"/>
        <v>0</v>
      </c>
      <c r="J588" s="541"/>
      <c r="K588" s="561"/>
      <c r="L588" s="545"/>
      <c r="M588" s="561"/>
      <c r="N588" s="545"/>
      <c r="O588" s="545"/>
    </row>
    <row r="589" spans="3:15">
      <c r="C589" s="537">
        <f>IF(D542="","-",+C588+1)</f>
        <v>2057</v>
      </c>
      <c r="D589" s="495">
        <f t="shared" si="30"/>
        <v>0</v>
      </c>
      <c r="E589" s="538">
        <f t="shared" si="35"/>
        <v>0</v>
      </c>
      <c r="F589" s="495">
        <f t="shared" si="31"/>
        <v>0</v>
      </c>
      <c r="G589" s="543">
        <f t="shared" si="32"/>
        <v>0</v>
      </c>
      <c r="H589" s="544">
        <f t="shared" si="33"/>
        <v>0</v>
      </c>
      <c r="I589" s="541">
        <f t="shared" si="34"/>
        <v>0</v>
      </c>
      <c r="J589" s="541"/>
      <c r="K589" s="561"/>
      <c r="L589" s="545"/>
      <c r="M589" s="561"/>
      <c r="N589" s="545"/>
      <c r="O589" s="545"/>
    </row>
    <row r="590" spans="3:15">
      <c r="C590" s="537">
        <f>IF(D542="","-",+C589+1)</f>
        <v>2058</v>
      </c>
      <c r="D590" s="495">
        <f t="shared" si="30"/>
        <v>0</v>
      </c>
      <c r="E590" s="538">
        <f t="shared" si="35"/>
        <v>0</v>
      </c>
      <c r="F590" s="495">
        <f t="shared" si="31"/>
        <v>0</v>
      </c>
      <c r="G590" s="543">
        <f t="shared" si="32"/>
        <v>0</v>
      </c>
      <c r="H590" s="544">
        <f t="shared" si="33"/>
        <v>0</v>
      </c>
      <c r="I590" s="541">
        <f t="shared" si="34"/>
        <v>0</v>
      </c>
      <c r="J590" s="541"/>
      <c r="K590" s="561"/>
      <c r="L590" s="545"/>
      <c r="M590" s="561"/>
      <c r="N590" s="545"/>
      <c r="O590" s="545"/>
    </row>
    <row r="591" spans="3:15">
      <c r="C591" s="537">
        <f>IF(D542="","-",+C590+1)</f>
        <v>2059</v>
      </c>
      <c r="D591" s="495">
        <f t="shared" si="30"/>
        <v>0</v>
      </c>
      <c r="E591" s="538">
        <f t="shared" si="35"/>
        <v>0</v>
      </c>
      <c r="F591" s="495">
        <f t="shared" si="31"/>
        <v>0</v>
      </c>
      <c r="G591" s="543">
        <f t="shared" si="32"/>
        <v>0</v>
      </c>
      <c r="H591" s="544">
        <f t="shared" si="33"/>
        <v>0</v>
      </c>
      <c r="I591" s="541">
        <f t="shared" si="34"/>
        <v>0</v>
      </c>
      <c r="J591" s="541"/>
      <c r="K591" s="561"/>
      <c r="L591" s="545"/>
      <c r="M591" s="561"/>
      <c r="N591" s="545"/>
      <c r="O591" s="545"/>
    </row>
    <row r="592" spans="3:15">
      <c r="C592" s="537">
        <f>IF(D542="","-",+C591+1)</f>
        <v>2060</v>
      </c>
      <c r="D592" s="495">
        <f t="shared" si="30"/>
        <v>0</v>
      </c>
      <c r="E592" s="538">
        <f t="shared" si="35"/>
        <v>0</v>
      </c>
      <c r="F592" s="495">
        <f t="shared" si="31"/>
        <v>0</v>
      </c>
      <c r="G592" s="543">
        <f t="shared" si="32"/>
        <v>0</v>
      </c>
      <c r="H592" s="544">
        <f t="shared" si="33"/>
        <v>0</v>
      </c>
      <c r="I592" s="541">
        <f t="shared" si="34"/>
        <v>0</v>
      </c>
      <c r="J592" s="541"/>
      <c r="K592" s="561"/>
      <c r="L592" s="545"/>
      <c r="M592" s="561"/>
      <c r="N592" s="545"/>
      <c r="O592" s="545"/>
    </row>
    <row r="593" spans="3:15">
      <c r="C593" s="537">
        <f>IF(D542="","-",+C592+1)</f>
        <v>2061</v>
      </c>
      <c r="D593" s="495">
        <f t="shared" si="30"/>
        <v>0</v>
      </c>
      <c r="E593" s="538">
        <f t="shared" si="35"/>
        <v>0</v>
      </c>
      <c r="F593" s="495">
        <f t="shared" si="31"/>
        <v>0</v>
      </c>
      <c r="G593" s="543">
        <f t="shared" si="32"/>
        <v>0</v>
      </c>
      <c r="H593" s="544">
        <f t="shared" si="33"/>
        <v>0</v>
      </c>
      <c r="I593" s="541">
        <f t="shared" si="34"/>
        <v>0</v>
      </c>
      <c r="J593" s="541"/>
      <c r="K593" s="561"/>
      <c r="L593" s="545"/>
      <c r="M593" s="561"/>
      <c r="N593" s="545"/>
      <c r="O593" s="545"/>
    </row>
    <row r="594" spans="3:15">
      <c r="C594" s="537">
        <f>IF(D542="","-",+C593+1)</f>
        <v>2062</v>
      </c>
      <c r="D594" s="495">
        <f t="shared" si="30"/>
        <v>0</v>
      </c>
      <c r="E594" s="538">
        <f t="shared" si="35"/>
        <v>0</v>
      </c>
      <c r="F594" s="495">
        <f t="shared" si="31"/>
        <v>0</v>
      </c>
      <c r="G594" s="543">
        <f t="shared" si="32"/>
        <v>0</v>
      </c>
      <c r="H594" s="544">
        <f t="shared" si="33"/>
        <v>0</v>
      </c>
      <c r="I594" s="541">
        <f t="shared" si="34"/>
        <v>0</v>
      </c>
      <c r="J594" s="541"/>
      <c r="K594" s="561"/>
      <c r="L594" s="545"/>
      <c r="M594" s="561"/>
      <c r="N594" s="545"/>
      <c r="O594" s="545"/>
    </row>
    <row r="595" spans="3:15">
      <c r="C595" s="537">
        <f>IF(D542="","-",+C594+1)</f>
        <v>2063</v>
      </c>
      <c r="D595" s="495">
        <f t="shared" si="30"/>
        <v>0</v>
      </c>
      <c r="E595" s="538">
        <f t="shared" si="35"/>
        <v>0</v>
      </c>
      <c r="F595" s="495">
        <f t="shared" si="31"/>
        <v>0</v>
      </c>
      <c r="G595" s="543">
        <f t="shared" si="32"/>
        <v>0</v>
      </c>
      <c r="H595" s="544">
        <f t="shared" si="33"/>
        <v>0</v>
      </c>
      <c r="I595" s="541">
        <f t="shared" si="34"/>
        <v>0</v>
      </c>
      <c r="J595" s="541"/>
      <c r="K595" s="561"/>
      <c r="L595" s="545"/>
      <c r="M595" s="561"/>
      <c r="N595" s="545"/>
      <c r="O595" s="545"/>
    </row>
    <row r="596" spans="3:15">
      <c r="C596" s="537">
        <f>IF(D542="","-",+C595+1)</f>
        <v>2064</v>
      </c>
      <c r="D596" s="495">
        <f t="shared" si="30"/>
        <v>0</v>
      </c>
      <c r="E596" s="538">
        <f t="shared" si="35"/>
        <v>0</v>
      </c>
      <c r="F596" s="495">
        <f t="shared" si="31"/>
        <v>0</v>
      </c>
      <c r="G596" s="543">
        <f t="shared" si="32"/>
        <v>0</v>
      </c>
      <c r="H596" s="544">
        <f t="shared" si="33"/>
        <v>0</v>
      </c>
      <c r="I596" s="541">
        <f t="shared" si="34"/>
        <v>0</v>
      </c>
      <c r="J596" s="541"/>
      <c r="K596" s="561"/>
      <c r="L596" s="545"/>
      <c r="M596" s="561"/>
      <c r="N596" s="545"/>
      <c r="O596" s="545"/>
    </row>
    <row r="597" spans="3:15">
      <c r="C597" s="537">
        <f>IF(D542="","-",+C596+1)</f>
        <v>2065</v>
      </c>
      <c r="D597" s="495">
        <f t="shared" si="30"/>
        <v>0</v>
      </c>
      <c r="E597" s="538">
        <f t="shared" si="35"/>
        <v>0</v>
      </c>
      <c r="F597" s="495">
        <f t="shared" si="31"/>
        <v>0</v>
      </c>
      <c r="G597" s="543">
        <f t="shared" si="32"/>
        <v>0</v>
      </c>
      <c r="H597" s="544">
        <f t="shared" si="33"/>
        <v>0</v>
      </c>
      <c r="I597" s="541">
        <f t="shared" si="34"/>
        <v>0</v>
      </c>
      <c r="J597" s="541"/>
      <c r="K597" s="561"/>
      <c r="L597" s="545"/>
      <c r="M597" s="561"/>
      <c r="N597" s="545"/>
      <c r="O597" s="545"/>
    </row>
    <row r="598" spans="3:15">
      <c r="C598" s="537">
        <f>IF(D542="","-",+C597+1)</f>
        <v>2066</v>
      </c>
      <c r="D598" s="495">
        <f t="shared" si="30"/>
        <v>0</v>
      </c>
      <c r="E598" s="538">
        <f t="shared" si="35"/>
        <v>0</v>
      </c>
      <c r="F598" s="495">
        <f t="shared" si="31"/>
        <v>0</v>
      </c>
      <c r="G598" s="543">
        <f t="shared" si="32"/>
        <v>0</v>
      </c>
      <c r="H598" s="544">
        <f t="shared" si="33"/>
        <v>0</v>
      </c>
      <c r="I598" s="541">
        <f t="shared" si="34"/>
        <v>0</v>
      </c>
      <c r="J598" s="541"/>
      <c r="K598" s="561"/>
      <c r="L598" s="545"/>
      <c r="M598" s="561"/>
      <c r="N598" s="545"/>
      <c r="O598" s="545"/>
    </row>
    <row r="599" spans="3:15">
      <c r="C599" s="537">
        <f>IF(D542="","-",+C598+1)</f>
        <v>2067</v>
      </c>
      <c r="D599" s="495">
        <f t="shared" si="30"/>
        <v>0</v>
      </c>
      <c r="E599" s="538">
        <f t="shared" si="35"/>
        <v>0</v>
      </c>
      <c r="F599" s="495">
        <f t="shared" si="31"/>
        <v>0</v>
      </c>
      <c r="G599" s="543">
        <f t="shared" si="32"/>
        <v>0</v>
      </c>
      <c r="H599" s="544">
        <f t="shared" si="33"/>
        <v>0</v>
      </c>
      <c r="I599" s="541">
        <f t="shared" si="34"/>
        <v>0</v>
      </c>
      <c r="J599" s="541"/>
      <c r="K599" s="561"/>
      <c r="L599" s="545"/>
      <c r="M599" s="561"/>
      <c r="N599" s="545"/>
      <c r="O599" s="545"/>
    </row>
    <row r="600" spans="3:15">
      <c r="C600" s="537">
        <f>IF(D542="","-",+C599+1)</f>
        <v>2068</v>
      </c>
      <c r="D600" s="495">
        <f t="shared" si="30"/>
        <v>0</v>
      </c>
      <c r="E600" s="538">
        <f t="shared" si="35"/>
        <v>0</v>
      </c>
      <c r="F600" s="495">
        <f t="shared" si="31"/>
        <v>0</v>
      </c>
      <c r="G600" s="543">
        <f t="shared" si="32"/>
        <v>0</v>
      </c>
      <c r="H600" s="544">
        <f t="shared" si="33"/>
        <v>0</v>
      </c>
      <c r="I600" s="541">
        <f t="shared" si="34"/>
        <v>0</v>
      </c>
      <c r="J600" s="541"/>
      <c r="K600" s="561"/>
      <c r="L600" s="545"/>
      <c r="M600" s="561"/>
      <c r="N600" s="545"/>
      <c r="O600" s="545"/>
    </row>
    <row r="601" spans="3:15">
      <c r="C601" s="537">
        <f>IF(D542="","-",+C600+1)</f>
        <v>2069</v>
      </c>
      <c r="D601" s="495">
        <f t="shared" si="30"/>
        <v>0</v>
      </c>
      <c r="E601" s="538">
        <f t="shared" si="35"/>
        <v>0</v>
      </c>
      <c r="F601" s="495">
        <f t="shared" si="31"/>
        <v>0</v>
      </c>
      <c r="G601" s="543">
        <f t="shared" si="32"/>
        <v>0</v>
      </c>
      <c r="H601" s="544">
        <f t="shared" si="33"/>
        <v>0</v>
      </c>
      <c r="I601" s="541">
        <f t="shared" si="34"/>
        <v>0</v>
      </c>
      <c r="J601" s="541"/>
      <c r="K601" s="561"/>
      <c r="L601" s="545"/>
      <c r="M601" s="561"/>
      <c r="N601" s="545"/>
      <c r="O601" s="545"/>
    </row>
    <row r="602" spans="3:15">
      <c r="C602" s="537">
        <f>IF(D542="","-",+C601+1)</f>
        <v>2070</v>
      </c>
      <c r="D602" s="495">
        <f t="shared" si="30"/>
        <v>0</v>
      </c>
      <c r="E602" s="538">
        <f t="shared" si="35"/>
        <v>0</v>
      </c>
      <c r="F602" s="495">
        <f t="shared" si="31"/>
        <v>0</v>
      </c>
      <c r="G602" s="543">
        <f t="shared" si="32"/>
        <v>0</v>
      </c>
      <c r="H602" s="544">
        <f t="shared" si="33"/>
        <v>0</v>
      </c>
      <c r="I602" s="541">
        <f t="shared" si="34"/>
        <v>0</v>
      </c>
      <c r="J602" s="541"/>
      <c r="K602" s="561"/>
      <c r="L602" s="545"/>
      <c r="M602" s="561"/>
      <c r="N602" s="545"/>
      <c r="O602" s="545"/>
    </row>
    <row r="603" spans="3:15">
      <c r="C603" s="537">
        <f>IF(D542="","-",+C602+1)</f>
        <v>2071</v>
      </c>
      <c r="D603" s="495">
        <f t="shared" si="30"/>
        <v>0</v>
      </c>
      <c r="E603" s="538">
        <f t="shared" si="35"/>
        <v>0</v>
      </c>
      <c r="F603" s="495">
        <f t="shared" si="31"/>
        <v>0</v>
      </c>
      <c r="G603" s="543">
        <f t="shared" si="32"/>
        <v>0</v>
      </c>
      <c r="H603" s="544">
        <f t="shared" si="33"/>
        <v>0</v>
      </c>
      <c r="I603" s="541">
        <f t="shared" si="34"/>
        <v>0</v>
      </c>
      <c r="J603" s="541"/>
      <c r="K603" s="561"/>
      <c r="L603" s="545"/>
      <c r="M603" s="561"/>
      <c r="N603" s="545"/>
      <c r="O603" s="545"/>
    </row>
    <row r="604" spans="3:15">
      <c r="C604" s="537">
        <f>IF(D542="","-",+C603+1)</f>
        <v>2072</v>
      </c>
      <c r="D604" s="495">
        <f t="shared" si="30"/>
        <v>0</v>
      </c>
      <c r="E604" s="538">
        <f t="shared" si="35"/>
        <v>0</v>
      </c>
      <c r="F604" s="495">
        <f t="shared" si="31"/>
        <v>0</v>
      </c>
      <c r="G604" s="543">
        <f t="shared" si="32"/>
        <v>0</v>
      </c>
      <c r="H604" s="544">
        <f t="shared" si="33"/>
        <v>0</v>
      </c>
      <c r="I604" s="541">
        <f t="shared" si="34"/>
        <v>0</v>
      </c>
      <c r="J604" s="541"/>
      <c r="K604" s="561"/>
      <c r="L604" s="545"/>
      <c r="M604" s="561"/>
      <c r="N604" s="545"/>
      <c r="O604" s="545"/>
    </row>
    <row r="605" spans="3:15">
      <c r="C605" s="537">
        <f>IF(D542="","-",+C604+1)</f>
        <v>2073</v>
      </c>
      <c r="D605" s="495">
        <f t="shared" si="30"/>
        <v>0</v>
      </c>
      <c r="E605" s="538">
        <f t="shared" si="35"/>
        <v>0</v>
      </c>
      <c r="F605" s="495">
        <f t="shared" si="31"/>
        <v>0</v>
      </c>
      <c r="G605" s="543">
        <f t="shared" si="32"/>
        <v>0</v>
      </c>
      <c r="H605" s="544">
        <f t="shared" si="33"/>
        <v>0</v>
      </c>
      <c r="I605" s="541">
        <f t="shared" si="34"/>
        <v>0</v>
      </c>
      <c r="J605" s="541"/>
      <c r="K605" s="561"/>
      <c r="L605" s="545"/>
      <c r="M605" s="561"/>
      <c r="N605" s="545"/>
      <c r="O605" s="545"/>
    </row>
    <row r="606" spans="3:15">
      <c r="C606" s="537">
        <f>IF(D542="","-",+C605+1)</f>
        <v>2074</v>
      </c>
      <c r="D606" s="495">
        <f t="shared" si="30"/>
        <v>0</v>
      </c>
      <c r="E606" s="538">
        <f t="shared" si="35"/>
        <v>0</v>
      </c>
      <c r="F606" s="495">
        <f t="shared" si="31"/>
        <v>0</v>
      </c>
      <c r="G606" s="543">
        <f t="shared" si="32"/>
        <v>0</v>
      </c>
      <c r="H606" s="544">
        <f t="shared" si="33"/>
        <v>0</v>
      </c>
      <c r="I606" s="541">
        <f t="shared" si="34"/>
        <v>0</v>
      </c>
      <c r="J606" s="541"/>
      <c r="K606" s="561"/>
      <c r="L606" s="545"/>
      <c r="M606" s="561"/>
      <c r="N606" s="545"/>
      <c r="O606" s="545"/>
    </row>
    <row r="607" spans="3:15" ht="13.5" thickBot="1">
      <c r="C607" s="547">
        <f>IF(D542="","-",+C606+1)</f>
        <v>2075</v>
      </c>
      <c r="D607" s="548">
        <f t="shared" si="30"/>
        <v>0</v>
      </c>
      <c r="E607" s="549">
        <f t="shared" si="35"/>
        <v>0</v>
      </c>
      <c r="F607" s="548">
        <f t="shared" si="31"/>
        <v>0</v>
      </c>
      <c r="G607" s="550">
        <f t="shared" si="32"/>
        <v>0</v>
      </c>
      <c r="H607" s="550">
        <f t="shared" si="33"/>
        <v>0</v>
      </c>
      <c r="I607" s="551">
        <f t="shared" si="34"/>
        <v>0</v>
      </c>
      <c r="J607" s="541"/>
      <c r="K607" s="562"/>
      <c r="L607" s="552"/>
      <c r="M607" s="562"/>
      <c r="N607" s="552"/>
      <c r="O607" s="552"/>
    </row>
    <row r="608" spans="3:15">
      <c r="C608" s="495" t="s">
        <v>91</v>
      </c>
      <c r="D608" s="492"/>
      <c r="E608" s="492">
        <f>SUM(E548:E607)</f>
        <v>52217631.810000002</v>
      </c>
      <c r="F608" s="492"/>
      <c r="G608" s="492">
        <f>SUM(G548:G607)</f>
        <v>163251103.93079612</v>
      </c>
      <c r="H608" s="492">
        <f>SUM(H548:H607)</f>
        <v>163251103.93079612</v>
      </c>
      <c r="I608" s="492">
        <f>SUM(I548:I607)</f>
        <v>0</v>
      </c>
      <c r="J608" s="492"/>
      <c r="K608" s="492"/>
      <c r="L608" s="492"/>
      <c r="M608" s="492"/>
      <c r="N608" s="492"/>
      <c r="O608" s="3"/>
    </row>
    <row r="609" spans="1:16">
      <c r="D609" s="47"/>
      <c r="E609" s="3"/>
      <c r="F609" s="3"/>
      <c r="G609" s="3"/>
      <c r="H609" s="479"/>
      <c r="I609" s="479"/>
      <c r="J609" s="492"/>
      <c r="K609" s="479"/>
      <c r="L609" s="479"/>
      <c r="M609" s="479"/>
      <c r="N609" s="479"/>
      <c r="O609" s="3"/>
    </row>
    <row r="610" spans="1:16">
      <c r="C610" s="3" t="s">
        <v>13</v>
      </c>
      <c r="D610" s="47"/>
      <c r="E610" s="3"/>
      <c r="F610" s="3"/>
      <c r="G610" s="3"/>
      <c r="H610" s="479"/>
      <c r="I610" s="479"/>
      <c r="J610" s="492"/>
      <c r="K610" s="479"/>
      <c r="L610" s="479"/>
      <c r="M610" s="479"/>
      <c r="N610" s="479"/>
      <c r="O610" s="3"/>
    </row>
    <row r="611" spans="1:16">
      <c r="C611" s="3"/>
      <c r="D611" s="47"/>
      <c r="E611" s="3"/>
      <c r="F611" s="3"/>
      <c r="G611" s="3"/>
      <c r="H611" s="479"/>
      <c r="I611" s="479"/>
      <c r="J611" s="492"/>
      <c r="K611" s="479"/>
      <c r="L611" s="479"/>
      <c r="M611" s="479"/>
      <c r="N611" s="479"/>
      <c r="O611" s="3"/>
    </row>
    <row r="612" spans="1:16">
      <c r="C612" s="507" t="s">
        <v>14</v>
      </c>
      <c r="D612" s="495"/>
      <c r="E612" s="495"/>
      <c r="F612" s="495"/>
      <c r="G612" s="492"/>
      <c r="H612" s="492"/>
      <c r="I612" s="553"/>
      <c r="J612" s="553"/>
      <c r="K612" s="553"/>
      <c r="L612" s="553"/>
      <c r="M612" s="553"/>
      <c r="N612" s="553"/>
      <c r="O612" s="3"/>
    </row>
    <row r="613" spans="1:16">
      <c r="C613" s="496" t="s">
        <v>271</v>
      </c>
      <c r="D613" s="495"/>
      <c r="E613" s="495"/>
      <c r="F613" s="495"/>
      <c r="G613" s="492"/>
      <c r="H613" s="492"/>
      <c r="I613" s="553"/>
      <c r="J613" s="553"/>
      <c r="K613" s="553"/>
      <c r="L613" s="553"/>
      <c r="M613" s="553"/>
      <c r="N613" s="553"/>
      <c r="O613" s="3"/>
    </row>
    <row r="614" spans="1:16">
      <c r="C614" s="496" t="s">
        <v>92</v>
      </c>
      <c r="D614" s="495"/>
      <c r="E614" s="495"/>
      <c r="F614" s="495"/>
      <c r="G614" s="492"/>
      <c r="H614" s="492"/>
      <c r="I614" s="553"/>
      <c r="J614" s="553"/>
      <c r="K614" s="553"/>
      <c r="L614" s="553"/>
      <c r="M614" s="553"/>
      <c r="N614" s="553"/>
      <c r="O614" s="3"/>
    </row>
    <row r="615" spans="1:16">
      <c r="C615" s="496"/>
      <c r="D615" s="495"/>
      <c r="E615" s="495"/>
      <c r="F615" s="495"/>
      <c r="G615" s="492"/>
      <c r="H615" s="492"/>
      <c r="I615" s="553"/>
      <c r="J615" s="553"/>
      <c r="K615" s="553"/>
      <c r="L615" s="553"/>
      <c r="M615" s="553"/>
      <c r="N615" s="553"/>
      <c r="O615" s="3"/>
    </row>
    <row r="616" spans="1:16">
      <c r="C616" s="1185" t="s">
        <v>6</v>
      </c>
      <c r="D616" s="1185"/>
      <c r="E616" s="1185"/>
      <c r="F616" s="1185"/>
      <c r="G616" s="1185"/>
      <c r="H616" s="1185"/>
      <c r="I616" s="1185"/>
      <c r="J616" s="1185"/>
      <c r="K616" s="1185"/>
      <c r="L616" s="1185"/>
      <c r="M616" s="1185"/>
      <c r="N616" s="1185"/>
      <c r="O616" s="1185"/>
    </row>
    <row r="617" spans="1:16">
      <c r="C617" s="1185"/>
      <c r="D617" s="1185"/>
      <c r="E617" s="1185"/>
      <c r="F617" s="1185"/>
      <c r="G617" s="1185"/>
      <c r="H617" s="1185"/>
      <c r="I617" s="1185"/>
      <c r="J617" s="1185"/>
      <c r="K617" s="1185"/>
      <c r="L617" s="1185"/>
      <c r="M617" s="1185"/>
      <c r="N617" s="1185"/>
      <c r="O617" s="1185"/>
    </row>
    <row r="618" spans="1:16" ht="20.25">
      <c r="A618" s="436" t="str">
        <f>""&amp;A542&amp;" Worksheet J -  ATRR PROJECTED Calculation for PJM Projects Charged to Benefiting Zones"</f>
        <v xml:space="preserve"> Worksheet J -  ATRR PROJECTED Calculation for PJM Projects Charged to Benefiting Zones</v>
      </c>
      <c r="B618" s="3"/>
      <c r="C618" s="3"/>
      <c r="D618" s="47"/>
      <c r="E618" s="3"/>
      <c r="F618" s="478"/>
      <c r="G618" s="3"/>
      <c r="H618" s="479"/>
      <c r="K618" s="387"/>
      <c r="L618" s="387"/>
      <c r="M618" s="387"/>
      <c r="N618" s="387" t="str">
        <f>"Page "&amp;SUM(P$8:P618)&amp;" of "</f>
        <v xml:space="preserve">Page 8 of </v>
      </c>
      <c r="O618" s="437">
        <f>COUNT(P$8:P$56562)</f>
        <v>12</v>
      </c>
      <c r="P618">
        <v>1</v>
      </c>
    </row>
    <row r="619" spans="1:16" ht="20.25">
      <c r="A619" s="436"/>
      <c r="B619" s="3"/>
      <c r="C619" s="3"/>
      <c r="D619" s="47"/>
      <c r="E619" s="3"/>
      <c r="F619" s="478"/>
      <c r="G619" s="3"/>
      <c r="H619" s="479"/>
      <c r="K619" s="387"/>
      <c r="L619" s="387"/>
      <c r="M619" s="387"/>
      <c r="N619" s="387"/>
      <c r="O619" s="437"/>
    </row>
    <row r="620" spans="1:16" ht="18">
      <c r="B620" s="438" t="s">
        <v>472</v>
      </c>
      <c r="C620" s="119" t="s">
        <v>93</v>
      </c>
      <c r="D620" s="47"/>
      <c r="E620" s="3"/>
      <c r="F620" s="3"/>
      <c r="G620" s="3"/>
      <c r="H620" s="479"/>
      <c r="I620" s="479"/>
      <c r="J620" s="492"/>
      <c r="K620" s="479"/>
      <c r="L620" s="479"/>
      <c r="M620" s="479"/>
      <c r="N620" s="479"/>
      <c r="O620" s="3"/>
    </row>
    <row r="621" spans="1:16" ht="18.75">
      <c r="B621" s="438"/>
      <c r="C621" s="6"/>
      <c r="D621" s="47"/>
      <c r="E621" s="3"/>
      <c r="F621" s="3"/>
      <c r="G621" s="3"/>
      <c r="H621" s="479"/>
      <c r="I621" s="479"/>
      <c r="J621" s="492"/>
      <c r="K621" s="479"/>
      <c r="L621" s="479"/>
      <c r="M621" s="479"/>
      <c r="N621" s="479"/>
      <c r="O621" s="3"/>
    </row>
    <row r="622" spans="1:16" ht="18.75">
      <c r="B622" s="438"/>
      <c r="C622" s="6" t="s">
        <v>94</v>
      </c>
      <c r="D622" s="47"/>
      <c r="E622" s="3"/>
      <c r="F622" s="3"/>
      <c r="G622" s="3"/>
      <c r="H622" s="479"/>
      <c r="I622" s="479"/>
      <c r="J622" s="492"/>
      <c r="K622" s="479"/>
      <c r="L622" s="479"/>
      <c r="M622" s="479"/>
      <c r="N622" s="479"/>
      <c r="O622" s="3"/>
    </row>
    <row r="623" spans="1:16" ht="15.75" thickBot="1">
      <c r="C623" s="128"/>
      <c r="D623" s="47"/>
      <c r="E623" s="3"/>
      <c r="F623" s="3"/>
      <c r="G623" s="3"/>
      <c r="H623" s="479"/>
      <c r="I623" s="479"/>
      <c r="J623" s="492"/>
      <c r="K623" s="479"/>
      <c r="L623" s="479"/>
      <c r="M623" s="479"/>
      <c r="N623" s="479"/>
      <c r="O623" s="3"/>
    </row>
    <row r="624" spans="1:16" ht="15.75">
      <c r="C624" s="440" t="s">
        <v>95</v>
      </c>
      <c r="D624" s="47"/>
      <c r="E624" s="3"/>
      <c r="F624" s="3"/>
      <c r="G624" s="555"/>
      <c r="H624" s="3" t="s">
        <v>74</v>
      </c>
      <c r="I624" s="3"/>
      <c r="J624" s="3"/>
      <c r="K624" s="498" t="s">
        <v>99</v>
      </c>
      <c r="L624" s="499"/>
      <c r="M624" s="500"/>
      <c r="N624" s="501">
        <f>IF(I630=0,0,VLOOKUP(I630,C637:O696,5))</f>
        <v>5523648.8460101616</v>
      </c>
      <c r="O624" s="3"/>
    </row>
    <row r="625" spans="2:15" ht="15.75">
      <c r="C625" s="440"/>
      <c r="D625" s="47"/>
      <c r="E625" s="3"/>
      <c r="F625" s="3"/>
      <c r="G625" s="3"/>
      <c r="H625" s="502"/>
      <c r="I625" s="502"/>
      <c r="J625" s="503"/>
      <c r="K625" s="504" t="s">
        <v>100</v>
      </c>
      <c r="L625" s="505"/>
      <c r="M625" s="3"/>
      <c r="N625" s="506">
        <f>IF(I630=0,0,VLOOKUP(I630,C637:O696,6))</f>
        <v>5523648.8460101616</v>
      </c>
      <c r="O625" s="3"/>
    </row>
    <row r="626" spans="2:15" ht="13.5" thickBot="1">
      <c r="C626" s="507" t="s">
        <v>96</v>
      </c>
      <c r="D626" s="1196" t="s">
        <v>819</v>
      </c>
      <c r="E626" s="1196"/>
      <c r="F626" s="1196"/>
      <c r="G626" s="1196"/>
      <c r="H626" s="1196"/>
      <c r="I626" s="1196"/>
      <c r="J626" s="492"/>
      <c r="K626" s="508" t="s">
        <v>238</v>
      </c>
      <c r="L626" s="509"/>
      <c r="M626" s="509"/>
      <c r="N626" s="510">
        <f>+N625-N624</f>
        <v>0</v>
      </c>
      <c r="O626" s="3"/>
    </row>
    <row r="627" spans="2:15">
      <c r="C627" s="511"/>
      <c r="D627" s="1196"/>
      <c r="E627" s="1196"/>
      <c r="F627" s="1196"/>
      <c r="G627" s="1196"/>
      <c r="H627" s="1196"/>
      <c r="I627" s="1196"/>
      <c r="J627" s="492"/>
      <c r="K627" s="479"/>
      <c r="L627" s="479"/>
      <c r="M627" s="479"/>
      <c r="N627" s="479"/>
      <c r="O627" s="3"/>
    </row>
    <row r="628" spans="2:15" ht="13.5" thickBot="1">
      <c r="C628" s="511"/>
      <c r="D628" s="3"/>
      <c r="E628" s="513"/>
      <c r="F628" s="513"/>
      <c r="G628" s="513"/>
      <c r="H628" s="513"/>
      <c r="I628" s="513"/>
      <c r="J628" s="513"/>
      <c r="K628" s="513"/>
      <c r="L628" s="513"/>
      <c r="M628" s="513"/>
      <c r="N628" s="513"/>
      <c r="O628" s="3"/>
    </row>
    <row r="629" spans="2:15" ht="13.5" thickBot="1">
      <c r="C629" s="514" t="s">
        <v>97</v>
      </c>
      <c r="D629" s="515"/>
      <c r="E629" s="515"/>
      <c r="F629" s="515"/>
      <c r="G629" s="515"/>
      <c r="H629" s="515"/>
      <c r="I629" s="516"/>
      <c r="K629" s="3"/>
      <c r="L629" s="3"/>
      <c r="M629" s="3"/>
      <c r="N629" s="3"/>
      <c r="O629" s="3"/>
    </row>
    <row r="630" spans="2:15" ht="15">
      <c r="C630" s="517" t="s">
        <v>75</v>
      </c>
      <c r="D630" s="557">
        <v>50142658.399999999</v>
      </c>
      <c r="E630" s="3" t="s">
        <v>76</v>
      </c>
      <c r="G630" s="47"/>
      <c r="H630" s="47"/>
      <c r="I630" s="518">
        <f>$L$26</f>
        <v>2026</v>
      </c>
      <c r="J630" s="70"/>
      <c r="K630" s="1186" t="s">
        <v>247</v>
      </c>
      <c r="L630" s="1186"/>
      <c r="M630" s="1186"/>
      <c r="N630" s="1186"/>
      <c r="O630" s="1186"/>
    </row>
    <row r="631" spans="2:15">
      <c r="C631" s="517" t="s">
        <v>78</v>
      </c>
      <c r="D631" s="558">
        <v>2016</v>
      </c>
      <c r="E631" s="517" t="s">
        <v>79</v>
      </c>
      <c r="F631" s="47"/>
      <c r="H631"/>
      <c r="I631" s="559">
        <f>IF(G624="",0,$F$17)</f>
        <v>0</v>
      </c>
      <c r="J631" s="519"/>
      <c r="K631" s="492" t="s">
        <v>247</v>
      </c>
    </row>
    <row r="632" spans="2:15">
      <c r="C632" s="517" t="s">
        <v>80</v>
      </c>
      <c r="D632" s="557">
        <v>12</v>
      </c>
      <c r="E632" s="517" t="s">
        <v>81</v>
      </c>
      <c r="F632" s="47"/>
      <c r="H632"/>
      <c r="I632" s="520">
        <f>$G$70</f>
        <v>0.11191367266500543</v>
      </c>
      <c r="J632" s="478"/>
      <c r="K632" t="str">
        <f>"          INPUT PROJECTED ARR (WITH &amp; WITHOUT INCENTIVES) FROM EACH PRIOR YEAR"</f>
        <v xml:space="preserve">          INPUT PROJECTED ARR (WITH &amp; WITHOUT INCENTIVES) FROM EACH PRIOR YEAR</v>
      </c>
    </row>
    <row r="633" spans="2:15">
      <c r="C633" s="517" t="s">
        <v>82</v>
      </c>
      <c r="D633" s="521">
        <f>$G$79</f>
        <v>36</v>
      </c>
      <c r="E633" s="517" t="s">
        <v>83</v>
      </c>
      <c r="F633" s="47"/>
      <c r="H633"/>
      <c r="I633" s="520">
        <f>IF(G624="",I632,$G$69)</f>
        <v>0.11191367266500543</v>
      </c>
      <c r="J633" s="478"/>
      <c r="K633" t="s">
        <v>160</v>
      </c>
    </row>
    <row r="634" spans="2:15" ht="13.5" thickBot="1">
      <c r="C634" s="517" t="s">
        <v>84</v>
      </c>
      <c r="D634" s="556" t="s">
        <v>810</v>
      </c>
      <c r="E634" s="522" t="s">
        <v>85</v>
      </c>
      <c r="F634" s="523"/>
      <c r="G634" s="524"/>
      <c r="H634" s="524"/>
      <c r="I634" s="510">
        <f>IF(D630=0,0,D630/D633)</f>
        <v>1392851.6222222222</v>
      </c>
      <c r="J634" s="492"/>
      <c r="K634" s="492" t="s">
        <v>166</v>
      </c>
      <c r="L634" s="492"/>
      <c r="M634" s="492"/>
      <c r="N634" s="492"/>
      <c r="O634" s="3"/>
    </row>
    <row r="635" spans="2:15" ht="51">
      <c r="B635" s="439"/>
      <c r="C635" s="525" t="s">
        <v>75</v>
      </c>
      <c r="D635" s="526" t="s">
        <v>86</v>
      </c>
      <c r="E635" s="527" t="s">
        <v>87</v>
      </c>
      <c r="F635" s="526" t="s">
        <v>88</v>
      </c>
      <c r="G635" s="527" t="s">
        <v>159</v>
      </c>
      <c r="H635" s="528" t="s">
        <v>159</v>
      </c>
      <c r="I635" s="525" t="s">
        <v>98</v>
      </c>
      <c r="J635" s="529"/>
      <c r="K635" s="527" t="s">
        <v>168</v>
      </c>
      <c r="L635" s="530"/>
      <c r="M635" s="527" t="s">
        <v>168</v>
      </c>
      <c r="N635" s="530"/>
      <c r="O635" s="530"/>
    </row>
    <row r="636" spans="2:15" ht="13.5" thickBot="1">
      <c r="C636" s="531" t="s">
        <v>475</v>
      </c>
      <c r="D636" s="532" t="s">
        <v>476</v>
      </c>
      <c r="E636" s="531" t="s">
        <v>369</v>
      </c>
      <c r="F636" s="532" t="s">
        <v>476</v>
      </c>
      <c r="G636" s="533" t="s">
        <v>101</v>
      </c>
      <c r="H636" s="534" t="s">
        <v>103</v>
      </c>
      <c r="I636" s="531" t="s">
        <v>15</v>
      </c>
      <c r="J636" s="535"/>
      <c r="K636" s="533" t="s">
        <v>90</v>
      </c>
      <c r="L636" s="536"/>
      <c r="M636" s="533" t="s">
        <v>103</v>
      </c>
      <c r="N636" s="536"/>
      <c r="O636" s="536"/>
    </row>
    <row r="637" spans="2:15">
      <c r="C637" s="537">
        <f>IF(D631= "","-",D631)</f>
        <v>2016</v>
      </c>
      <c r="D637" s="495">
        <f>+D630</f>
        <v>50142658.399999999</v>
      </c>
      <c r="E637" s="538">
        <f>+I634/12*(12-D632)</f>
        <v>0</v>
      </c>
      <c r="F637" s="495">
        <f>+D637-E637</f>
        <v>50142658.399999999</v>
      </c>
      <c r="G637" s="705">
        <f>+$I$96*((D637+F637)/2)+E637</f>
        <v>5611649.0587307848</v>
      </c>
      <c r="H637" s="706">
        <f>$I$97*((D637+F637)/2)+E637</f>
        <v>5611649.0587307848</v>
      </c>
      <c r="I637" s="541">
        <f>+H637-G637</f>
        <v>0</v>
      </c>
      <c r="J637" s="541"/>
      <c r="K637" s="560">
        <v>4514116</v>
      </c>
      <c r="L637" s="542"/>
      <c r="M637" s="560">
        <v>4514116</v>
      </c>
      <c r="N637" s="542"/>
      <c r="O637" s="542"/>
    </row>
    <row r="638" spans="2:15">
      <c r="C638" s="537">
        <f>IF(D631="","-",+C637+1)</f>
        <v>2017</v>
      </c>
      <c r="D638" s="495">
        <f t="shared" ref="D638:D696" si="36">F637</f>
        <v>50142658.399999999</v>
      </c>
      <c r="E638" s="538">
        <f>IF(D638&gt;$I$634,$I$634,D638)</f>
        <v>1392851.6222222222</v>
      </c>
      <c r="F638" s="495">
        <f t="shared" ref="F638:F696" si="37">+D638-E638</f>
        <v>48749806.777777776</v>
      </c>
      <c r="G638" s="543">
        <f t="shared" ref="G638:G696" si="38">+$I$96*((D638+F638)/2)+E638</f>
        <v>6926561.1106928568</v>
      </c>
      <c r="H638" s="544">
        <f t="shared" ref="H638:H696" si="39">$I$97*((D638+F638)/2)+E638</f>
        <v>6926561.1106928568</v>
      </c>
      <c r="I638" s="541">
        <f t="shared" ref="I638:I696" si="40">+H638-G638</f>
        <v>0</v>
      </c>
      <c r="J638" s="541"/>
      <c r="K638" s="561">
        <v>7261914</v>
      </c>
      <c r="L638" s="545"/>
      <c r="M638" s="561">
        <v>7261914</v>
      </c>
      <c r="N638" s="545"/>
      <c r="O638" s="545"/>
    </row>
    <row r="639" spans="2:15">
      <c r="C639" s="943">
        <f>IF(D631="","-",+C638+1)</f>
        <v>2018</v>
      </c>
      <c r="D639" s="495">
        <f t="shared" si="36"/>
        <v>48749806.777777776</v>
      </c>
      <c r="E639" s="538">
        <f t="shared" ref="E639:E696" si="41">IF(D639&gt;$I$634,$I$634,D639)</f>
        <v>1392851.6222222222</v>
      </c>
      <c r="F639" s="495">
        <f t="shared" si="37"/>
        <v>47356955.155555554</v>
      </c>
      <c r="G639" s="543">
        <f t="shared" si="38"/>
        <v>6770681.970172558</v>
      </c>
      <c r="H639" s="544">
        <f t="shared" si="39"/>
        <v>6770681.970172558</v>
      </c>
      <c r="I639" s="541">
        <f t="shared" si="40"/>
        <v>0</v>
      </c>
      <c r="J639" s="541"/>
      <c r="K639" s="561">
        <v>5720037</v>
      </c>
      <c r="L639" s="545"/>
      <c r="M639" s="561">
        <v>5720037</v>
      </c>
      <c r="N639" s="545"/>
      <c r="O639" s="545"/>
    </row>
    <row r="640" spans="2:15">
      <c r="C640" s="943">
        <f>IF(D631="","-",+C639+1)</f>
        <v>2019</v>
      </c>
      <c r="D640" s="495">
        <f t="shared" si="36"/>
        <v>47356955.155555554</v>
      </c>
      <c r="E640" s="538">
        <f t="shared" si="41"/>
        <v>1392851.6222222222</v>
      </c>
      <c r="F640" s="495">
        <f t="shared" si="37"/>
        <v>45964103.533333331</v>
      </c>
      <c r="G640" s="543">
        <f t="shared" si="38"/>
        <v>6614802.8296522582</v>
      </c>
      <c r="H640" s="544">
        <f t="shared" si="39"/>
        <v>6614802.8296522582</v>
      </c>
      <c r="I640" s="541">
        <f t="shared" si="40"/>
        <v>0</v>
      </c>
      <c r="J640" s="541"/>
      <c r="K640" s="561">
        <v>6058460.8343775142</v>
      </c>
      <c r="L640" s="545"/>
      <c r="M640" s="561">
        <v>6058460.8343775142</v>
      </c>
      <c r="N640" s="545"/>
      <c r="O640" s="545"/>
    </row>
    <row r="641" spans="3:15">
      <c r="C641" s="943">
        <f>IF(D631="","-",+C640+1)</f>
        <v>2020</v>
      </c>
      <c r="D641" s="495">
        <f t="shared" si="36"/>
        <v>45964103.533333331</v>
      </c>
      <c r="E641" s="538">
        <f t="shared" si="41"/>
        <v>1392851.6222222222</v>
      </c>
      <c r="F641" s="495">
        <f t="shared" si="37"/>
        <v>44571251.911111109</v>
      </c>
      <c r="G641" s="543">
        <f t="shared" si="38"/>
        <v>6458923.6891319593</v>
      </c>
      <c r="H641" s="544">
        <f t="shared" si="39"/>
        <v>6458923.6891319593</v>
      </c>
      <c r="I641" s="541">
        <f t="shared" si="40"/>
        <v>0</v>
      </c>
      <c r="J641" s="541"/>
      <c r="K641" s="561">
        <v>6143739.6200183444</v>
      </c>
      <c r="L641" s="545"/>
      <c r="M641" s="561">
        <v>6143739.6200183444</v>
      </c>
      <c r="N641" s="545"/>
      <c r="O641" s="545"/>
    </row>
    <row r="642" spans="3:15">
      <c r="C642" s="943">
        <f>IF(D631="","-",+C641+1)</f>
        <v>2021</v>
      </c>
      <c r="D642" s="495">
        <f t="shared" si="36"/>
        <v>44571251.911111109</v>
      </c>
      <c r="E642" s="538">
        <f t="shared" si="41"/>
        <v>1392851.6222222222</v>
      </c>
      <c r="F642" s="495">
        <f t="shared" si="37"/>
        <v>43178400.288888887</v>
      </c>
      <c r="G642" s="543">
        <f t="shared" si="38"/>
        <v>6303044.5486116586</v>
      </c>
      <c r="H642" s="544">
        <f t="shared" si="39"/>
        <v>6303044.5486116586</v>
      </c>
      <c r="I642" s="541">
        <f t="shared" si="40"/>
        <v>0</v>
      </c>
      <c r="J642" s="541"/>
      <c r="K642" s="561">
        <v>6107452.5872625131</v>
      </c>
      <c r="L642" s="545"/>
      <c r="M642" s="561">
        <v>6107452.5872625131</v>
      </c>
      <c r="N642" s="545"/>
      <c r="O642" s="545"/>
    </row>
    <row r="643" spans="3:15">
      <c r="C643" s="943">
        <f>IF(D631="","-",+C642+1)</f>
        <v>2022</v>
      </c>
      <c r="D643" s="495">
        <f t="shared" si="36"/>
        <v>43178400.288888887</v>
      </c>
      <c r="E643" s="538">
        <f t="shared" si="41"/>
        <v>1392851.6222222222</v>
      </c>
      <c r="F643" s="495">
        <f t="shared" si="37"/>
        <v>41785548.666666664</v>
      </c>
      <c r="G643" s="543">
        <f t="shared" si="38"/>
        <v>6147165.4080913598</v>
      </c>
      <c r="H643" s="544">
        <f t="shared" si="39"/>
        <v>6147165.4080913598</v>
      </c>
      <c r="I643" s="541">
        <f t="shared" si="40"/>
        <v>0</v>
      </c>
      <c r="J643" s="541"/>
      <c r="K643" s="561">
        <v>6231587.9651845628</v>
      </c>
      <c r="L643" s="545"/>
      <c r="M643" s="561">
        <v>6231587.9651845628</v>
      </c>
      <c r="N643" s="545"/>
      <c r="O643" s="545"/>
    </row>
    <row r="644" spans="3:15">
      <c r="C644" s="537">
        <f>IF(D631="","-",+C643+1)</f>
        <v>2023</v>
      </c>
      <c r="D644" s="495">
        <f t="shared" si="36"/>
        <v>41785548.666666664</v>
      </c>
      <c r="E644" s="538">
        <f t="shared" si="41"/>
        <v>1392851.6222222222</v>
      </c>
      <c r="F644" s="495">
        <f t="shared" si="37"/>
        <v>40392697.044444442</v>
      </c>
      <c r="G644" s="543">
        <f t="shared" si="38"/>
        <v>5991286.2675710591</v>
      </c>
      <c r="H644" s="544">
        <f t="shared" si="39"/>
        <v>5991286.2675710591</v>
      </c>
      <c r="I644" s="541">
        <f t="shared" si="40"/>
        <v>0</v>
      </c>
      <c r="J644" s="541"/>
      <c r="K644" s="561">
        <v>6073819.5400946867</v>
      </c>
      <c r="L644" s="545"/>
      <c r="M644" s="561">
        <v>6073819.5400946867</v>
      </c>
      <c r="N644" s="545"/>
      <c r="O644" s="545"/>
    </row>
    <row r="645" spans="3:15">
      <c r="C645" s="537">
        <f>IF(D631="","-",+C644+1)</f>
        <v>2024</v>
      </c>
      <c r="D645" s="495">
        <f t="shared" si="36"/>
        <v>40392697.044444442</v>
      </c>
      <c r="E645" s="538">
        <f t="shared" si="41"/>
        <v>1392851.6222222222</v>
      </c>
      <c r="F645" s="495">
        <f t="shared" si="37"/>
        <v>38999845.422222219</v>
      </c>
      <c r="G645" s="543">
        <f t="shared" si="38"/>
        <v>5835407.1270507602</v>
      </c>
      <c r="H645" s="544">
        <f t="shared" si="39"/>
        <v>5835407.1270507602</v>
      </c>
      <c r="I645" s="541">
        <f t="shared" si="40"/>
        <v>0</v>
      </c>
      <c r="J645" s="541"/>
      <c r="K645" s="561">
        <v>5894289.9736510012</v>
      </c>
      <c r="L645" s="545"/>
      <c r="M645" s="561">
        <v>5894289.9736510012</v>
      </c>
      <c r="N645" s="545"/>
      <c r="O645" s="545"/>
    </row>
    <row r="646" spans="3:15">
      <c r="C646" s="537">
        <f>IF(D631="","-",+C645+1)</f>
        <v>2025</v>
      </c>
      <c r="D646" s="495">
        <f t="shared" si="36"/>
        <v>38999845.422222219</v>
      </c>
      <c r="E646" s="538">
        <f t="shared" si="41"/>
        <v>1392851.6222222222</v>
      </c>
      <c r="F646" s="495">
        <f t="shared" si="37"/>
        <v>37606993.799999997</v>
      </c>
      <c r="G646" s="543">
        <f t="shared" si="38"/>
        <v>5679527.9865304604</v>
      </c>
      <c r="H646" s="544">
        <f t="shared" si="39"/>
        <v>5679527.9865304604</v>
      </c>
      <c r="I646" s="541">
        <f t="shared" si="40"/>
        <v>0</v>
      </c>
      <c r="J646" s="541"/>
      <c r="K646" s="561">
        <v>5794851.3111719294</v>
      </c>
      <c r="L646" s="545"/>
      <c r="M646" s="561">
        <v>5794851.3111719294</v>
      </c>
      <c r="N646" s="545"/>
      <c r="O646" s="545"/>
    </row>
    <row r="647" spans="3:15">
      <c r="C647" s="935">
        <f>IF(D631="","-",+C646+1)</f>
        <v>2026</v>
      </c>
      <c r="D647" s="495">
        <f t="shared" si="36"/>
        <v>37606993.799999997</v>
      </c>
      <c r="E647" s="538">
        <f t="shared" si="41"/>
        <v>1392851.6222222222</v>
      </c>
      <c r="F647" s="495">
        <f t="shared" si="37"/>
        <v>36214142.177777775</v>
      </c>
      <c r="G647" s="543">
        <f t="shared" si="38"/>
        <v>5523648.8460101616</v>
      </c>
      <c r="H647" s="544">
        <f t="shared" si="39"/>
        <v>5523648.8460101616</v>
      </c>
      <c r="I647" s="541">
        <f t="shared" si="40"/>
        <v>0</v>
      </c>
      <c r="J647" s="541"/>
      <c r="K647" s="561"/>
      <c r="L647" s="545"/>
      <c r="M647" s="561"/>
      <c r="N647" s="545"/>
      <c r="O647" s="545"/>
    </row>
    <row r="648" spans="3:15">
      <c r="C648" s="537">
        <f>IF(D631="","-",+C647+1)</f>
        <v>2027</v>
      </c>
      <c r="D648" s="495">
        <f t="shared" si="36"/>
        <v>36214142.177777775</v>
      </c>
      <c r="E648" s="538">
        <f t="shared" si="41"/>
        <v>1392851.6222222222</v>
      </c>
      <c r="F648" s="495">
        <f t="shared" si="37"/>
        <v>34821290.555555552</v>
      </c>
      <c r="G648" s="543">
        <f t="shared" si="38"/>
        <v>5367769.7054898608</v>
      </c>
      <c r="H648" s="544">
        <f t="shared" si="39"/>
        <v>5367769.7054898608</v>
      </c>
      <c r="I648" s="541">
        <f t="shared" si="40"/>
        <v>0</v>
      </c>
      <c r="J648" s="541"/>
      <c r="K648" s="561"/>
      <c r="L648" s="545"/>
      <c r="M648" s="561"/>
      <c r="N648" s="545"/>
      <c r="O648" s="545"/>
    </row>
    <row r="649" spans="3:15">
      <c r="C649" s="537">
        <f>IF(D631="","-",+C648+1)</f>
        <v>2028</v>
      </c>
      <c r="D649" s="495">
        <f t="shared" si="36"/>
        <v>34821290.555555552</v>
      </c>
      <c r="E649" s="538">
        <f t="shared" si="41"/>
        <v>1392851.6222222222</v>
      </c>
      <c r="F649" s="495">
        <f t="shared" si="37"/>
        <v>33428438.93333333</v>
      </c>
      <c r="G649" s="543">
        <f t="shared" si="38"/>
        <v>5211890.564969562</v>
      </c>
      <c r="H649" s="544">
        <f t="shared" si="39"/>
        <v>5211890.564969562</v>
      </c>
      <c r="I649" s="541">
        <f t="shared" si="40"/>
        <v>0</v>
      </c>
      <c r="J649" s="541"/>
      <c r="K649" s="561"/>
      <c r="L649" s="545"/>
      <c r="M649" s="561"/>
      <c r="N649" s="546"/>
      <c r="O649" s="545"/>
    </row>
    <row r="650" spans="3:15">
      <c r="C650" s="537">
        <f>IF(D631="","-",+C649+1)</f>
        <v>2029</v>
      </c>
      <c r="D650" s="495">
        <f t="shared" si="36"/>
        <v>33428438.93333333</v>
      </c>
      <c r="E650" s="538">
        <f t="shared" si="41"/>
        <v>1392851.6222222222</v>
      </c>
      <c r="F650" s="495">
        <f t="shared" si="37"/>
        <v>32035587.311111107</v>
      </c>
      <c r="G650" s="543">
        <f t="shared" si="38"/>
        <v>5056011.4244492622</v>
      </c>
      <c r="H650" s="544">
        <f t="shared" si="39"/>
        <v>5056011.4244492622</v>
      </c>
      <c r="I650" s="541">
        <f t="shared" si="40"/>
        <v>0</v>
      </c>
      <c r="J650" s="541"/>
      <c r="K650" s="561"/>
      <c r="L650" s="545"/>
      <c r="M650" s="561"/>
      <c r="N650" s="545"/>
      <c r="O650" s="545"/>
    </row>
    <row r="651" spans="3:15">
      <c r="C651" s="537">
        <f>IF(D631="","-",+C650+1)</f>
        <v>2030</v>
      </c>
      <c r="D651" s="495">
        <f t="shared" si="36"/>
        <v>32035587.311111107</v>
      </c>
      <c r="E651" s="538">
        <f t="shared" si="41"/>
        <v>1392851.6222222222</v>
      </c>
      <c r="F651" s="495">
        <f t="shared" si="37"/>
        <v>30642735.688888885</v>
      </c>
      <c r="G651" s="543">
        <f t="shared" si="38"/>
        <v>4900132.2839289624</v>
      </c>
      <c r="H651" s="544">
        <f t="shared" si="39"/>
        <v>4900132.2839289624</v>
      </c>
      <c r="I651" s="541">
        <f t="shared" si="40"/>
        <v>0</v>
      </c>
      <c r="J651" s="541"/>
      <c r="K651" s="561"/>
      <c r="L651" s="545"/>
      <c r="M651" s="561"/>
      <c r="N651" s="545"/>
      <c r="O651" s="545"/>
    </row>
    <row r="652" spans="3:15">
      <c r="C652" s="537">
        <f>IF(D631="","-",+C651+1)</f>
        <v>2031</v>
      </c>
      <c r="D652" s="495">
        <f t="shared" si="36"/>
        <v>30642735.688888885</v>
      </c>
      <c r="E652" s="538">
        <f t="shared" si="41"/>
        <v>1392851.6222222222</v>
      </c>
      <c r="F652" s="495">
        <f t="shared" si="37"/>
        <v>29249884.066666663</v>
      </c>
      <c r="G652" s="543">
        <f t="shared" si="38"/>
        <v>4744253.1434086626</v>
      </c>
      <c r="H652" s="544">
        <f t="shared" si="39"/>
        <v>4744253.1434086626</v>
      </c>
      <c r="I652" s="541">
        <f t="shared" si="40"/>
        <v>0</v>
      </c>
      <c r="J652" s="541"/>
      <c r="K652" s="561"/>
      <c r="L652" s="545"/>
      <c r="M652" s="561"/>
      <c r="N652" s="545"/>
      <c r="O652" s="545"/>
    </row>
    <row r="653" spans="3:15">
      <c r="C653" s="537">
        <f>IF(D631="","-",+C652+1)</f>
        <v>2032</v>
      </c>
      <c r="D653" s="495">
        <f t="shared" si="36"/>
        <v>29249884.066666663</v>
      </c>
      <c r="E653" s="538">
        <f t="shared" si="41"/>
        <v>1392851.6222222222</v>
      </c>
      <c r="F653" s="495">
        <f t="shared" si="37"/>
        <v>27857032.44444444</v>
      </c>
      <c r="G653" s="543">
        <f t="shared" si="38"/>
        <v>4588374.0028883629</v>
      </c>
      <c r="H653" s="544">
        <f t="shared" si="39"/>
        <v>4588374.0028883629</v>
      </c>
      <c r="I653" s="541">
        <f t="shared" si="40"/>
        <v>0</v>
      </c>
      <c r="J653" s="541"/>
      <c r="K653" s="561"/>
      <c r="L653" s="545"/>
      <c r="M653" s="561"/>
      <c r="N653" s="545"/>
      <c r="O653" s="545"/>
    </row>
    <row r="654" spans="3:15">
      <c r="C654" s="537">
        <f>IF(D631="","-",+C653+1)</f>
        <v>2033</v>
      </c>
      <c r="D654" s="495">
        <f t="shared" si="36"/>
        <v>27857032.44444444</v>
      </c>
      <c r="E654" s="538">
        <f t="shared" si="41"/>
        <v>1392851.6222222222</v>
      </c>
      <c r="F654" s="495">
        <f t="shared" si="37"/>
        <v>26464180.822222218</v>
      </c>
      <c r="G654" s="543">
        <f t="shared" si="38"/>
        <v>4432494.862368064</v>
      </c>
      <c r="H654" s="544">
        <f t="shared" si="39"/>
        <v>4432494.862368064</v>
      </c>
      <c r="I654" s="541">
        <f t="shared" si="40"/>
        <v>0</v>
      </c>
      <c r="J654" s="541"/>
      <c r="K654" s="561"/>
      <c r="L654" s="545"/>
      <c r="M654" s="561"/>
      <c r="N654" s="545"/>
      <c r="O654" s="545"/>
    </row>
    <row r="655" spans="3:15">
      <c r="C655" s="537">
        <f>IF(D631="","-",+C654+1)</f>
        <v>2034</v>
      </c>
      <c r="D655" s="495">
        <f t="shared" si="36"/>
        <v>26464180.822222218</v>
      </c>
      <c r="E655" s="538">
        <f t="shared" si="41"/>
        <v>1392851.6222222222</v>
      </c>
      <c r="F655" s="495">
        <f t="shared" si="37"/>
        <v>25071329.199999996</v>
      </c>
      <c r="G655" s="543">
        <f t="shared" si="38"/>
        <v>4276615.7218477642</v>
      </c>
      <c r="H655" s="544">
        <f t="shared" si="39"/>
        <v>4276615.7218477642</v>
      </c>
      <c r="I655" s="541">
        <f t="shared" si="40"/>
        <v>0</v>
      </c>
      <c r="J655" s="541"/>
      <c r="K655" s="561"/>
      <c r="L655" s="545"/>
      <c r="M655" s="561"/>
      <c r="N655" s="545"/>
      <c r="O655" s="545"/>
    </row>
    <row r="656" spans="3:15">
      <c r="C656" s="537">
        <f>IF(D631="","-",+C655+1)</f>
        <v>2035</v>
      </c>
      <c r="D656" s="495">
        <f t="shared" si="36"/>
        <v>25071329.199999996</v>
      </c>
      <c r="E656" s="538">
        <f t="shared" si="41"/>
        <v>1392851.6222222222</v>
      </c>
      <c r="F656" s="495">
        <f t="shared" si="37"/>
        <v>23678477.577777773</v>
      </c>
      <c r="G656" s="543">
        <f t="shared" si="38"/>
        <v>4120736.5813274644</v>
      </c>
      <c r="H656" s="544">
        <f t="shared" si="39"/>
        <v>4120736.5813274644</v>
      </c>
      <c r="I656" s="541">
        <f t="shared" si="40"/>
        <v>0</v>
      </c>
      <c r="J656" s="541"/>
      <c r="K656" s="561"/>
      <c r="L656" s="545"/>
      <c r="M656" s="561"/>
      <c r="N656" s="545"/>
      <c r="O656" s="545"/>
    </row>
    <row r="657" spans="3:15">
      <c r="C657" s="537">
        <f>IF(D631="","-",+C656+1)</f>
        <v>2036</v>
      </c>
      <c r="D657" s="495">
        <f t="shared" si="36"/>
        <v>23678477.577777773</v>
      </c>
      <c r="E657" s="538">
        <f t="shared" si="41"/>
        <v>1392851.6222222222</v>
      </c>
      <c r="F657" s="495">
        <f t="shared" si="37"/>
        <v>22285625.955555551</v>
      </c>
      <c r="G657" s="543">
        <f t="shared" si="38"/>
        <v>3964857.4408071646</v>
      </c>
      <c r="H657" s="544">
        <f t="shared" si="39"/>
        <v>3964857.4408071646</v>
      </c>
      <c r="I657" s="541">
        <f t="shared" si="40"/>
        <v>0</v>
      </c>
      <c r="J657" s="541"/>
      <c r="K657" s="561"/>
      <c r="L657" s="545"/>
      <c r="M657" s="561"/>
      <c r="N657" s="545"/>
      <c r="O657" s="545"/>
    </row>
    <row r="658" spans="3:15">
      <c r="C658" s="537">
        <f>IF(D631="","-",+C657+1)</f>
        <v>2037</v>
      </c>
      <c r="D658" s="495">
        <f t="shared" si="36"/>
        <v>22285625.955555551</v>
      </c>
      <c r="E658" s="538">
        <f t="shared" si="41"/>
        <v>1392851.6222222222</v>
      </c>
      <c r="F658" s="495">
        <f t="shared" si="37"/>
        <v>20892774.333333328</v>
      </c>
      <c r="G658" s="543">
        <f t="shared" si="38"/>
        <v>3808978.3002868649</v>
      </c>
      <c r="H658" s="544">
        <f t="shared" si="39"/>
        <v>3808978.3002868649</v>
      </c>
      <c r="I658" s="541">
        <f t="shared" si="40"/>
        <v>0</v>
      </c>
      <c r="J658" s="541"/>
      <c r="K658" s="561"/>
      <c r="L658" s="545"/>
      <c r="M658" s="561"/>
      <c r="N658" s="545"/>
      <c r="O658" s="545"/>
    </row>
    <row r="659" spans="3:15">
      <c r="C659" s="537">
        <f>IF(D631="","-",+C658+1)</f>
        <v>2038</v>
      </c>
      <c r="D659" s="495">
        <f t="shared" si="36"/>
        <v>20892774.333333328</v>
      </c>
      <c r="E659" s="538">
        <f t="shared" si="41"/>
        <v>1392851.6222222222</v>
      </c>
      <c r="F659" s="495">
        <f t="shared" si="37"/>
        <v>19499922.711111106</v>
      </c>
      <c r="G659" s="543">
        <f t="shared" si="38"/>
        <v>3653099.1597665651</v>
      </c>
      <c r="H659" s="544">
        <f t="shared" si="39"/>
        <v>3653099.1597665651</v>
      </c>
      <c r="I659" s="541">
        <f t="shared" si="40"/>
        <v>0</v>
      </c>
      <c r="J659" s="541"/>
      <c r="K659" s="561"/>
      <c r="L659" s="545"/>
      <c r="M659" s="561"/>
      <c r="N659" s="545"/>
      <c r="O659" s="545"/>
    </row>
    <row r="660" spans="3:15">
      <c r="C660" s="537">
        <f>IF(D631="","-",+C659+1)</f>
        <v>2039</v>
      </c>
      <c r="D660" s="495">
        <f t="shared" si="36"/>
        <v>19499922.711111106</v>
      </c>
      <c r="E660" s="538">
        <f t="shared" si="41"/>
        <v>1392851.6222222222</v>
      </c>
      <c r="F660" s="495">
        <f t="shared" si="37"/>
        <v>18107071.088888884</v>
      </c>
      <c r="G660" s="543">
        <f t="shared" si="38"/>
        <v>3497220.0192462662</v>
      </c>
      <c r="H660" s="544">
        <f t="shared" si="39"/>
        <v>3497220.0192462662</v>
      </c>
      <c r="I660" s="541">
        <f t="shared" si="40"/>
        <v>0</v>
      </c>
      <c r="J660" s="541"/>
      <c r="K660" s="561"/>
      <c r="L660" s="545"/>
      <c r="M660" s="561"/>
      <c r="N660" s="545"/>
      <c r="O660" s="545"/>
    </row>
    <row r="661" spans="3:15">
      <c r="C661" s="537">
        <f>IF(D631="","-",+C660+1)</f>
        <v>2040</v>
      </c>
      <c r="D661" s="495">
        <f t="shared" si="36"/>
        <v>18107071.088888884</v>
      </c>
      <c r="E661" s="538">
        <f t="shared" si="41"/>
        <v>1392851.6222222222</v>
      </c>
      <c r="F661" s="495">
        <f t="shared" si="37"/>
        <v>16714219.466666661</v>
      </c>
      <c r="G661" s="543">
        <f t="shared" si="38"/>
        <v>3341340.8787259664</v>
      </c>
      <c r="H661" s="544">
        <f t="shared" si="39"/>
        <v>3341340.8787259664</v>
      </c>
      <c r="I661" s="541">
        <f t="shared" si="40"/>
        <v>0</v>
      </c>
      <c r="J661" s="541"/>
      <c r="K661" s="561"/>
      <c r="L661" s="545"/>
      <c r="M661" s="561"/>
      <c r="N661" s="545"/>
      <c r="O661" s="545"/>
    </row>
    <row r="662" spans="3:15">
      <c r="C662" s="537">
        <f>IF(D631="","-",+C661+1)</f>
        <v>2041</v>
      </c>
      <c r="D662" s="495">
        <f t="shared" si="36"/>
        <v>16714219.466666661</v>
      </c>
      <c r="E662" s="538">
        <f t="shared" si="41"/>
        <v>1392851.6222222222</v>
      </c>
      <c r="F662" s="495">
        <f t="shared" si="37"/>
        <v>15321367.844444439</v>
      </c>
      <c r="G662" s="543">
        <f t="shared" si="38"/>
        <v>3185461.7382056667</v>
      </c>
      <c r="H662" s="544">
        <f t="shared" si="39"/>
        <v>3185461.7382056667</v>
      </c>
      <c r="I662" s="541">
        <f t="shared" si="40"/>
        <v>0</v>
      </c>
      <c r="J662" s="541"/>
      <c r="K662" s="561"/>
      <c r="L662" s="545"/>
      <c r="M662" s="561"/>
      <c r="N662" s="545"/>
      <c r="O662" s="545"/>
    </row>
    <row r="663" spans="3:15">
      <c r="C663" s="537">
        <f>IF(D631="","-",+C662+1)</f>
        <v>2042</v>
      </c>
      <c r="D663" s="495">
        <f t="shared" si="36"/>
        <v>15321367.844444439</v>
      </c>
      <c r="E663" s="538">
        <f t="shared" si="41"/>
        <v>1392851.6222222222</v>
      </c>
      <c r="F663" s="495">
        <f t="shared" si="37"/>
        <v>13928516.222222216</v>
      </c>
      <c r="G663" s="543">
        <f t="shared" si="38"/>
        <v>3029582.5976853669</v>
      </c>
      <c r="H663" s="544">
        <f t="shared" si="39"/>
        <v>3029582.5976853669</v>
      </c>
      <c r="I663" s="541">
        <f t="shared" si="40"/>
        <v>0</v>
      </c>
      <c r="J663" s="541"/>
      <c r="K663" s="561"/>
      <c r="L663" s="545"/>
      <c r="M663" s="561"/>
      <c r="N663" s="545"/>
      <c r="O663" s="545"/>
    </row>
    <row r="664" spans="3:15">
      <c r="C664" s="537">
        <f>IF(D631="","-",+C663+1)</f>
        <v>2043</v>
      </c>
      <c r="D664" s="495">
        <f t="shared" si="36"/>
        <v>13928516.222222216</v>
      </c>
      <c r="E664" s="538">
        <f t="shared" si="41"/>
        <v>1392851.6222222222</v>
      </c>
      <c r="F664" s="495">
        <f t="shared" si="37"/>
        <v>12535664.599999994</v>
      </c>
      <c r="G664" s="543">
        <f t="shared" si="38"/>
        <v>2873703.4571650675</v>
      </c>
      <c r="H664" s="544">
        <f t="shared" si="39"/>
        <v>2873703.4571650675</v>
      </c>
      <c r="I664" s="541">
        <f t="shared" si="40"/>
        <v>0</v>
      </c>
      <c r="J664" s="541"/>
      <c r="K664" s="561"/>
      <c r="L664" s="545"/>
      <c r="M664" s="561"/>
      <c r="N664" s="545"/>
      <c r="O664" s="545"/>
    </row>
    <row r="665" spans="3:15">
      <c r="C665" s="537">
        <f>IF(D631="","-",+C664+1)</f>
        <v>2044</v>
      </c>
      <c r="D665" s="495">
        <f t="shared" si="36"/>
        <v>12535664.599999994</v>
      </c>
      <c r="E665" s="538">
        <f t="shared" si="41"/>
        <v>1392851.6222222222</v>
      </c>
      <c r="F665" s="495">
        <f t="shared" si="37"/>
        <v>11142812.977777772</v>
      </c>
      <c r="G665" s="539">
        <f t="shared" si="38"/>
        <v>2717824.3166447682</v>
      </c>
      <c r="H665" s="544">
        <f t="shared" si="39"/>
        <v>2717824.3166447682</v>
      </c>
      <c r="I665" s="541">
        <f t="shared" si="40"/>
        <v>0</v>
      </c>
      <c r="J665" s="541"/>
      <c r="K665" s="561"/>
      <c r="L665" s="545"/>
      <c r="M665" s="561"/>
      <c r="N665" s="545"/>
      <c r="O665" s="545"/>
    </row>
    <row r="666" spans="3:15">
      <c r="C666" s="537">
        <f>IF(D631="","-",+C665+1)</f>
        <v>2045</v>
      </c>
      <c r="D666" s="495">
        <f t="shared" si="36"/>
        <v>11142812.977777772</v>
      </c>
      <c r="E666" s="538">
        <f t="shared" si="41"/>
        <v>1392851.6222222222</v>
      </c>
      <c r="F666" s="495">
        <f t="shared" si="37"/>
        <v>9749961.3555555493</v>
      </c>
      <c r="G666" s="543">
        <f t="shared" si="38"/>
        <v>2561945.1761244684</v>
      </c>
      <c r="H666" s="544">
        <f t="shared" si="39"/>
        <v>2561945.1761244684</v>
      </c>
      <c r="I666" s="541">
        <f t="shared" si="40"/>
        <v>0</v>
      </c>
      <c r="J666" s="541"/>
      <c r="K666" s="561"/>
      <c r="L666" s="545"/>
      <c r="M666" s="561"/>
      <c r="N666" s="545"/>
      <c r="O666" s="545"/>
    </row>
    <row r="667" spans="3:15">
      <c r="C667" s="537">
        <f>IF(D631="","-",+C666+1)</f>
        <v>2046</v>
      </c>
      <c r="D667" s="495">
        <f t="shared" si="36"/>
        <v>9749961.3555555493</v>
      </c>
      <c r="E667" s="538">
        <f t="shared" si="41"/>
        <v>1392851.6222222222</v>
      </c>
      <c r="F667" s="495">
        <f t="shared" si="37"/>
        <v>8357109.7333333269</v>
      </c>
      <c r="G667" s="543">
        <f t="shared" si="38"/>
        <v>2406066.0356041687</v>
      </c>
      <c r="H667" s="544">
        <f t="shared" si="39"/>
        <v>2406066.0356041687</v>
      </c>
      <c r="I667" s="541">
        <f t="shared" si="40"/>
        <v>0</v>
      </c>
      <c r="J667" s="541"/>
      <c r="K667" s="561"/>
      <c r="L667" s="545"/>
      <c r="M667" s="561"/>
      <c r="N667" s="545"/>
      <c r="O667" s="545"/>
    </row>
    <row r="668" spans="3:15">
      <c r="C668" s="537">
        <f>IF(D631="","-",+C667+1)</f>
        <v>2047</v>
      </c>
      <c r="D668" s="495">
        <f t="shared" si="36"/>
        <v>8357109.7333333269</v>
      </c>
      <c r="E668" s="538">
        <f t="shared" si="41"/>
        <v>1392851.6222222222</v>
      </c>
      <c r="F668" s="495">
        <f t="shared" si="37"/>
        <v>6964258.1111111045</v>
      </c>
      <c r="G668" s="543">
        <f t="shared" si="38"/>
        <v>2250186.8950838689</v>
      </c>
      <c r="H668" s="544">
        <f t="shared" si="39"/>
        <v>2250186.8950838689</v>
      </c>
      <c r="I668" s="541">
        <f t="shared" si="40"/>
        <v>0</v>
      </c>
      <c r="J668" s="541"/>
      <c r="K668" s="561"/>
      <c r="L668" s="545"/>
      <c r="M668" s="561"/>
      <c r="N668" s="545"/>
      <c r="O668" s="545"/>
    </row>
    <row r="669" spans="3:15">
      <c r="C669" s="537">
        <f>IF(D631="","-",+C668+1)</f>
        <v>2048</v>
      </c>
      <c r="D669" s="495">
        <f t="shared" si="36"/>
        <v>6964258.1111111045</v>
      </c>
      <c r="E669" s="538">
        <f t="shared" si="41"/>
        <v>1392851.6222222222</v>
      </c>
      <c r="F669" s="495">
        <f t="shared" si="37"/>
        <v>5571406.4888888821</v>
      </c>
      <c r="G669" s="543">
        <f t="shared" si="38"/>
        <v>2094307.7545635696</v>
      </c>
      <c r="H669" s="544">
        <f t="shared" si="39"/>
        <v>2094307.7545635696</v>
      </c>
      <c r="I669" s="541">
        <f t="shared" si="40"/>
        <v>0</v>
      </c>
      <c r="J669" s="541"/>
      <c r="K669" s="561"/>
      <c r="L669" s="545"/>
      <c r="M669" s="561"/>
      <c r="N669" s="545"/>
      <c r="O669" s="545"/>
    </row>
    <row r="670" spans="3:15">
      <c r="C670" s="537">
        <f>IF(D631="","-",+C669+1)</f>
        <v>2049</v>
      </c>
      <c r="D670" s="495">
        <f t="shared" si="36"/>
        <v>5571406.4888888821</v>
      </c>
      <c r="E670" s="538">
        <f t="shared" si="41"/>
        <v>1392851.6222222222</v>
      </c>
      <c r="F670" s="495">
        <f t="shared" si="37"/>
        <v>4178554.8666666597</v>
      </c>
      <c r="G670" s="543">
        <f t="shared" si="38"/>
        <v>1938428.6140432698</v>
      </c>
      <c r="H670" s="544">
        <f t="shared" si="39"/>
        <v>1938428.6140432698</v>
      </c>
      <c r="I670" s="541">
        <f t="shared" si="40"/>
        <v>0</v>
      </c>
      <c r="J670" s="541"/>
      <c r="K670" s="561"/>
      <c r="L670" s="545"/>
      <c r="M670" s="561"/>
      <c r="N670" s="545"/>
      <c r="O670" s="545"/>
    </row>
    <row r="671" spans="3:15">
      <c r="C671" s="537">
        <f>IF(D631="","-",+C670+1)</f>
        <v>2050</v>
      </c>
      <c r="D671" s="495">
        <f t="shared" si="36"/>
        <v>4178554.8666666597</v>
      </c>
      <c r="E671" s="538">
        <f t="shared" si="41"/>
        <v>1392851.6222222222</v>
      </c>
      <c r="F671" s="495">
        <f t="shared" si="37"/>
        <v>2785703.2444444373</v>
      </c>
      <c r="G671" s="543">
        <f t="shared" si="38"/>
        <v>1782549.4735229705</v>
      </c>
      <c r="H671" s="544">
        <f t="shared" si="39"/>
        <v>1782549.4735229705</v>
      </c>
      <c r="I671" s="541">
        <f t="shared" si="40"/>
        <v>0</v>
      </c>
      <c r="J671" s="541"/>
      <c r="K671" s="561"/>
      <c r="L671" s="545"/>
      <c r="M671" s="561"/>
      <c r="N671" s="545"/>
      <c r="O671" s="545"/>
    </row>
    <row r="672" spans="3:15">
      <c r="C672" s="537">
        <f>IF(D631="","-",+C671+1)</f>
        <v>2051</v>
      </c>
      <c r="D672" s="495">
        <f t="shared" si="36"/>
        <v>2785703.2444444373</v>
      </c>
      <c r="E672" s="538">
        <f t="shared" si="41"/>
        <v>1392851.6222222222</v>
      </c>
      <c r="F672" s="495">
        <f t="shared" si="37"/>
        <v>1392851.6222222152</v>
      </c>
      <c r="G672" s="543">
        <f t="shared" si="38"/>
        <v>1626670.3330026707</v>
      </c>
      <c r="H672" s="544">
        <f t="shared" si="39"/>
        <v>1626670.3330026707</v>
      </c>
      <c r="I672" s="541">
        <f t="shared" si="40"/>
        <v>0</v>
      </c>
      <c r="J672" s="541"/>
      <c r="K672" s="561"/>
      <c r="L672" s="545"/>
      <c r="M672" s="561"/>
      <c r="N672" s="545"/>
      <c r="O672" s="545"/>
    </row>
    <row r="673" spans="3:15">
      <c r="C673" s="537">
        <f>IF(D631="","-",+C672+1)</f>
        <v>2052</v>
      </c>
      <c r="D673" s="495">
        <f t="shared" si="36"/>
        <v>1392851.6222222152</v>
      </c>
      <c r="E673" s="538">
        <f t="shared" si="41"/>
        <v>1392851.6222222152</v>
      </c>
      <c r="F673" s="495">
        <f t="shared" si="37"/>
        <v>0</v>
      </c>
      <c r="G673" s="543">
        <f t="shared" si="38"/>
        <v>1470791.1924823646</v>
      </c>
      <c r="H673" s="544">
        <f t="shared" si="39"/>
        <v>1470791.1924823646</v>
      </c>
      <c r="I673" s="541">
        <f t="shared" si="40"/>
        <v>0</v>
      </c>
      <c r="J673" s="541"/>
      <c r="K673" s="561"/>
      <c r="L673" s="545"/>
      <c r="M673" s="561"/>
      <c r="N673" s="545"/>
      <c r="O673" s="545"/>
    </row>
    <row r="674" spans="3:15">
      <c r="C674" s="537">
        <f>IF(D631="","-",+C673+1)</f>
        <v>2053</v>
      </c>
      <c r="D674" s="495">
        <f t="shared" si="36"/>
        <v>0</v>
      </c>
      <c r="E674" s="538">
        <f t="shared" si="41"/>
        <v>0</v>
      </c>
      <c r="F674" s="495">
        <f t="shared" si="37"/>
        <v>0</v>
      </c>
      <c r="G674" s="543">
        <f t="shared" si="38"/>
        <v>0</v>
      </c>
      <c r="H674" s="544">
        <f t="shared" si="39"/>
        <v>0</v>
      </c>
      <c r="I674" s="541">
        <f t="shared" si="40"/>
        <v>0</v>
      </c>
      <c r="J674" s="541"/>
      <c r="K674" s="561"/>
      <c r="L674" s="545"/>
      <c r="M674" s="561"/>
      <c r="N674" s="545"/>
      <c r="O674" s="545"/>
    </row>
    <row r="675" spans="3:15">
      <c r="C675" s="537">
        <f>IF(D631="","-",+C674+1)</f>
        <v>2054</v>
      </c>
      <c r="D675" s="495">
        <f t="shared" si="36"/>
        <v>0</v>
      </c>
      <c r="E675" s="538">
        <f t="shared" si="41"/>
        <v>0</v>
      </c>
      <c r="F675" s="495">
        <f t="shared" si="37"/>
        <v>0</v>
      </c>
      <c r="G675" s="543">
        <f t="shared" si="38"/>
        <v>0</v>
      </c>
      <c r="H675" s="544">
        <f t="shared" si="39"/>
        <v>0</v>
      </c>
      <c r="I675" s="541">
        <f t="shared" si="40"/>
        <v>0</v>
      </c>
      <c r="J675" s="541"/>
      <c r="K675" s="561"/>
      <c r="L675" s="545"/>
      <c r="M675" s="561"/>
      <c r="N675" s="545"/>
      <c r="O675" s="545"/>
    </row>
    <row r="676" spans="3:15">
      <c r="C676" s="537">
        <f>IF(D631="","-",+C675+1)</f>
        <v>2055</v>
      </c>
      <c r="D676" s="495">
        <f t="shared" si="36"/>
        <v>0</v>
      </c>
      <c r="E676" s="538">
        <f t="shared" si="41"/>
        <v>0</v>
      </c>
      <c r="F676" s="495">
        <f t="shared" si="37"/>
        <v>0</v>
      </c>
      <c r="G676" s="543">
        <f t="shared" si="38"/>
        <v>0</v>
      </c>
      <c r="H676" s="544">
        <f t="shared" si="39"/>
        <v>0</v>
      </c>
      <c r="I676" s="541">
        <f t="shared" si="40"/>
        <v>0</v>
      </c>
      <c r="J676" s="541"/>
      <c r="K676" s="561"/>
      <c r="L676" s="545"/>
      <c r="M676" s="561"/>
      <c r="N676" s="545"/>
      <c r="O676" s="545"/>
    </row>
    <row r="677" spans="3:15">
      <c r="C677" s="537">
        <f>IF(D631="","-",+C676+1)</f>
        <v>2056</v>
      </c>
      <c r="D677" s="495">
        <f t="shared" si="36"/>
        <v>0</v>
      </c>
      <c r="E677" s="538">
        <f t="shared" si="41"/>
        <v>0</v>
      </c>
      <c r="F677" s="495">
        <f t="shared" si="37"/>
        <v>0</v>
      </c>
      <c r="G677" s="543">
        <f t="shared" si="38"/>
        <v>0</v>
      </c>
      <c r="H677" s="544">
        <f t="shared" si="39"/>
        <v>0</v>
      </c>
      <c r="I677" s="541">
        <f t="shared" si="40"/>
        <v>0</v>
      </c>
      <c r="J677" s="541"/>
      <c r="K677" s="561"/>
      <c r="L677" s="545"/>
      <c r="M677" s="561"/>
      <c r="N677" s="545"/>
      <c r="O677" s="545"/>
    </row>
    <row r="678" spans="3:15">
      <c r="C678" s="537">
        <f>IF(D631="","-",+C677+1)</f>
        <v>2057</v>
      </c>
      <c r="D678" s="495">
        <f t="shared" si="36"/>
        <v>0</v>
      </c>
      <c r="E678" s="538">
        <f t="shared" si="41"/>
        <v>0</v>
      </c>
      <c r="F678" s="495">
        <f t="shared" si="37"/>
        <v>0</v>
      </c>
      <c r="G678" s="543">
        <f t="shared" si="38"/>
        <v>0</v>
      </c>
      <c r="H678" s="544">
        <f t="shared" si="39"/>
        <v>0</v>
      </c>
      <c r="I678" s="541">
        <f t="shared" si="40"/>
        <v>0</v>
      </c>
      <c r="J678" s="541"/>
      <c r="K678" s="561"/>
      <c r="L678" s="545"/>
      <c r="M678" s="561"/>
      <c r="N678" s="545"/>
      <c r="O678" s="545"/>
    </row>
    <row r="679" spans="3:15">
      <c r="C679" s="537">
        <f>IF(D631="","-",+C678+1)</f>
        <v>2058</v>
      </c>
      <c r="D679" s="495">
        <f t="shared" si="36"/>
        <v>0</v>
      </c>
      <c r="E679" s="538">
        <f t="shared" si="41"/>
        <v>0</v>
      </c>
      <c r="F679" s="495">
        <f t="shared" si="37"/>
        <v>0</v>
      </c>
      <c r="G679" s="543">
        <f t="shared" si="38"/>
        <v>0</v>
      </c>
      <c r="H679" s="544">
        <f t="shared" si="39"/>
        <v>0</v>
      </c>
      <c r="I679" s="541">
        <f t="shared" si="40"/>
        <v>0</v>
      </c>
      <c r="J679" s="541"/>
      <c r="K679" s="561"/>
      <c r="L679" s="545"/>
      <c r="M679" s="561"/>
      <c r="N679" s="545"/>
      <c r="O679" s="545"/>
    </row>
    <row r="680" spans="3:15">
      <c r="C680" s="537">
        <f>IF(D631="","-",+C679+1)</f>
        <v>2059</v>
      </c>
      <c r="D680" s="495">
        <f t="shared" si="36"/>
        <v>0</v>
      </c>
      <c r="E680" s="538">
        <f t="shared" si="41"/>
        <v>0</v>
      </c>
      <c r="F680" s="495">
        <f t="shared" si="37"/>
        <v>0</v>
      </c>
      <c r="G680" s="543">
        <f t="shared" si="38"/>
        <v>0</v>
      </c>
      <c r="H680" s="544">
        <f t="shared" si="39"/>
        <v>0</v>
      </c>
      <c r="I680" s="541">
        <f t="shared" si="40"/>
        <v>0</v>
      </c>
      <c r="J680" s="541"/>
      <c r="K680" s="561"/>
      <c r="L680" s="545"/>
      <c r="M680" s="561"/>
      <c r="N680" s="545"/>
      <c r="O680" s="545"/>
    </row>
    <row r="681" spans="3:15">
      <c r="C681" s="537">
        <f>IF(D631="","-",+C680+1)</f>
        <v>2060</v>
      </c>
      <c r="D681" s="495">
        <f t="shared" si="36"/>
        <v>0</v>
      </c>
      <c r="E681" s="538">
        <f t="shared" si="41"/>
        <v>0</v>
      </c>
      <c r="F681" s="495">
        <f t="shared" si="37"/>
        <v>0</v>
      </c>
      <c r="G681" s="543">
        <f t="shared" si="38"/>
        <v>0</v>
      </c>
      <c r="H681" s="544">
        <f t="shared" si="39"/>
        <v>0</v>
      </c>
      <c r="I681" s="541">
        <f t="shared" si="40"/>
        <v>0</v>
      </c>
      <c r="J681" s="541"/>
      <c r="K681" s="561"/>
      <c r="L681" s="545"/>
      <c r="M681" s="561"/>
      <c r="N681" s="545"/>
      <c r="O681" s="545"/>
    </row>
    <row r="682" spans="3:15">
      <c r="C682" s="537">
        <f>IF(D631="","-",+C681+1)</f>
        <v>2061</v>
      </c>
      <c r="D682" s="495">
        <f t="shared" si="36"/>
        <v>0</v>
      </c>
      <c r="E682" s="538">
        <f t="shared" si="41"/>
        <v>0</v>
      </c>
      <c r="F682" s="495">
        <f t="shared" si="37"/>
        <v>0</v>
      </c>
      <c r="G682" s="543">
        <f t="shared" si="38"/>
        <v>0</v>
      </c>
      <c r="H682" s="544">
        <f t="shared" si="39"/>
        <v>0</v>
      </c>
      <c r="I682" s="541">
        <f t="shared" si="40"/>
        <v>0</v>
      </c>
      <c r="J682" s="541"/>
      <c r="K682" s="561"/>
      <c r="L682" s="545"/>
      <c r="M682" s="561"/>
      <c r="N682" s="545"/>
      <c r="O682" s="545"/>
    </row>
    <row r="683" spans="3:15">
      <c r="C683" s="537">
        <f>IF(D631="","-",+C682+1)</f>
        <v>2062</v>
      </c>
      <c r="D683" s="495">
        <f t="shared" si="36"/>
        <v>0</v>
      </c>
      <c r="E683" s="538">
        <f t="shared" si="41"/>
        <v>0</v>
      </c>
      <c r="F683" s="495">
        <f t="shared" si="37"/>
        <v>0</v>
      </c>
      <c r="G683" s="543">
        <f t="shared" si="38"/>
        <v>0</v>
      </c>
      <c r="H683" s="544">
        <f t="shared" si="39"/>
        <v>0</v>
      </c>
      <c r="I683" s="541">
        <f t="shared" si="40"/>
        <v>0</v>
      </c>
      <c r="J683" s="541"/>
      <c r="K683" s="561"/>
      <c r="L683" s="545"/>
      <c r="M683" s="561"/>
      <c r="N683" s="545"/>
      <c r="O683" s="545"/>
    </row>
    <row r="684" spans="3:15">
      <c r="C684" s="537">
        <f>IF(D631="","-",+C683+1)</f>
        <v>2063</v>
      </c>
      <c r="D684" s="495">
        <f t="shared" si="36"/>
        <v>0</v>
      </c>
      <c r="E684" s="538">
        <f t="shared" si="41"/>
        <v>0</v>
      </c>
      <c r="F684" s="495">
        <f t="shared" si="37"/>
        <v>0</v>
      </c>
      <c r="G684" s="543">
        <f t="shared" si="38"/>
        <v>0</v>
      </c>
      <c r="H684" s="544">
        <f t="shared" si="39"/>
        <v>0</v>
      </c>
      <c r="I684" s="541">
        <f t="shared" si="40"/>
        <v>0</v>
      </c>
      <c r="J684" s="541"/>
      <c r="K684" s="561"/>
      <c r="L684" s="545"/>
      <c r="M684" s="561"/>
      <c r="N684" s="545"/>
      <c r="O684" s="545"/>
    </row>
    <row r="685" spans="3:15">
      <c r="C685" s="537">
        <f>IF(D631="","-",+C684+1)</f>
        <v>2064</v>
      </c>
      <c r="D685" s="495">
        <f t="shared" si="36"/>
        <v>0</v>
      </c>
      <c r="E685" s="538">
        <f t="shared" si="41"/>
        <v>0</v>
      </c>
      <c r="F685" s="495">
        <f t="shared" si="37"/>
        <v>0</v>
      </c>
      <c r="G685" s="543">
        <f t="shared" si="38"/>
        <v>0</v>
      </c>
      <c r="H685" s="544">
        <f t="shared" si="39"/>
        <v>0</v>
      </c>
      <c r="I685" s="541">
        <f t="shared" si="40"/>
        <v>0</v>
      </c>
      <c r="J685" s="541"/>
      <c r="K685" s="561"/>
      <c r="L685" s="545"/>
      <c r="M685" s="561"/>
      <c r="N685" s="545"/>
      <c r="O685" s="545"/>
    </row>
    <row r="686" spans="3:15">
      <c r="C686" s="537">
        <f>IF(D631="","-",+C685+1)</f>
        <v>2065</v>
      </c>
      <c r="D686" s="495">
        <f t="shared" si="36"/>
        <v>0</v>
      </c>
      <c r="E686" s="538">
        <f t="shared" si="41"/>
        <v>0</v>
      </c>
      <c r="F686" s="495">
        <f t="shared" si="37"/>
        <v>0</v>
      </c>
      <c r="G686" s="543">
        <f t="shared" si="38"/>
        <v>0</v>
      </c>
      <c r="H686" s="544">
        <f t="shared" si="39"/>
        <v>0</v>
      </c>
      <c r="I686" s="541">
        <f t="shared" si="40"/>
        <v>0</v>
      </c>
      <c r="J686" s="541"/>
      <c r="K686" s="561"/>
      <c r="L686" s="545"/>
      <c r="M686" s="561"/>
      <c r="N686" s="545"/>
      <c r="O686" s="545"/>
    </row>
    <row r="687" spans="3:15">
      <c r="C687" s="537">
        <f>IF(D631="","-",+C686+1)</f>
        <v>2066</v>
      </c>
      <c r="D687" s="495">
        <f t="shared" si="36"/>
        <v>0</v>
      </c>
      <c r="E687" s="538">
        <f t="shared" si="41"/>
        <v>0</v>
      </c>
      <c r="F687" s="495">
        <f t="shared" si="37"/>
        <v>0</v>
      </c>
      <c r="G687" s="543">
        <f t="shared" si="38"/>
        <v>0</v>
      </c>
      <c r="H687" s="544">
        <f t="shared" si="39"/>
        <v>0</v>
      </c>
      <c r="I687" s="541">
        <f t="shared" si="40"/>
        <v>0</v>
      </c>
      <c r="J687" s="541"/>
      <c r="K687" s="561"/>
      <c r="L687" s="545"/>
      <c r="M687" s="561"/>
      <c r="N687" s="545"/>
      <c r="O687" s="545"/>
    </row>
    <row r="688" spans="3:15">
      <c r="C688" s="537">
        <f>IF(D631="","-",+C687+1)</f>
        <v>2067</v>
      </c>
      <c r="D688" s="495">
        <f t="shared" si="36"/>
        <v>0</v>
      </c>
      <c r="E688" s="538">
        <f t="shared" si="41"/>
        <v>0</v>
      </c>
      <c r="F688" s="495">
        <f t="shared" si="37"/>
        <v>0</v>
      </c>
      <c r="G688" s="543">
        <f t="shared" si="38"/>
        <v>0</v>
      </c>
      <c r="H688" s="544">
        <f t="shared" si="39"/>
        <v>0</v>
      </c>
      <c r="I688" s="541">
        <f t="shared" si="40"/>
        <v>0</v>
      </c>
      <c r="J688" s="541"/>
      <c r="K688" s="561"/>
      <c r="L688" s="545"/>
      <c r="M688" s="561"/>
      <c r="N688" s="545"/>
      <c r="O688" s="545"/>
    </row>
    <row r="689" spans="3:15">
      <c r="C689" s="537">
        <f>IF(D631="","-",+C688+1)</f>
        <v>2068</v>
      </c>
      <c r="D689" s="495">
        <f t="shared" si="36"/>
        <v>0</v>
      </c>
      <c r="E689" s="538">
        <f t="shared" si="41"/>
        <v>0</v>
      </c>
      <c r="F689" s="495">
        <f t="shared" si="37"/>
        <v>0</v>
      </c>
      <c r="G689" s="543">
        <f t="shared" si="38"/>
        <v>0</v>
      </c>
      <c r="H689" s="544">
        <f t="shared" si="39"/>
        <v>0</v>
      </c>
      <c r="I689" s="541">
        <f t="shared" si="40"/>
        <v>0</v>
      </c>
      <c r="J689" s="541"/>
      <c r="K689" s="561"/>
      <c r="L689" s="545"/>
      <c r="M689" s="561"/>
      <c r="N689" s="545"/>
      <c r="O689" s="545"/>
    </row>
    <row r="690" spans="3:15">
      <c r="C690" s="537">
        <f>IF(D631="","-",+C689+1)</f>
        <v>2069</v>
      </c>
      <c r="D690" s="495">
        <f t="shared" si="36"/>
        <v>0</v>
      </c>
      <c r="E690" s="538">
        <f t="shared" si="41"/>
        <v>0</v>
      </c>
      <c r="F690" s="495">
        <f t="shared" si="37"/>
        <v>0</v>
      </c>
      <c r="G690" s="543">
        <f t="shared" si="38"/>
        <v>0</v>
      </c>
      <c r="H690" s="544">
        <f t="shared" si="39"/>
        <v>0</v>
      </c>
      <c r="I690" s="541">
        <f t="shared" si="40"/>
        <v>0</v>
      </c>
      <c r="J690" s="541"/>
      <c r="K690" s="561"/>
      <c r="L690" s="545"/>
      <c r="M690" s="561"/>
      <c r="N690" s="545"/>
      <c r="O690" s="545"/>
    </row>
    <row r="691" spans="3:15">
      <c r="C691" s="537">
        <f>IF(D631="","-",+C690+1)</f>
        <v>2070</v>
      </c>
      <c r="D691" s="495">
        <f t="shared" si="36"/>
        <v>0</v>
      </c>
      <c r="E691" s="538">
        <f t="shared" si="41"/>
        <v>0</v>
      </c>
      <c r="F691" s="495">
        <f t="shared" si="37"/>
        <v>0</v>
      </c>
      <c r="G691" s="543">
        <f t="shared" si="38"/>
        <v>0</v>
      </c>
      <c r="H691" s="544">
        <f t="shared" si="39"/>
        <v>0</v>
      </c>
      <c r="I691" s="541">
        <f t="shared" si="40"/>
        <v>0</v>
      </c>
      <c r="J691" s="541"/>
      <c r="K691" s="561"/>
      <c r="L691" s="545"/>
      <c r="M691" s="561"/>
      <c r="N691" s="545"/>
      <c r="O691" s="545"/>
    </row>
    <row r="692" spans="3:15">
      <c r="C692" s="537">
        <f>IF(D631="","-",+C691+1)</f>
        <v>2071</v>
      </c>
      <c r="D692" s="495">
        <f t="shared" si="36"/>
        <v>0</v>
      </c>
      <c r="E692" s="538">
        <f t="shared" si="41"/>
        <v>0</v>
      </c>
      <c r="F692" s="495">
        <f t="shared" si="37"/>
        <v>0</v>
      </c>
      <c r="G692" s="543">
        <f t="shared" si="38"/>
        <v>0</v>
      </c>
      <c r="H692" s="544">
        <f t="shared" si="39"/>
        <v>0</v>
      </c>
      <c r="I692" s="541">
        <f t="shared" si="40"/>
        <v>0</v>
      </c>
      <c r="J692" s="541"/>
      <c r="K692" s="561"/>
      <c r="L692" s="545"/>
      <c r="M692" s="561"/>
      <c r="N692" s="545"/>
      <c r="O692" s="545"/>
    </row>
    <row r="693" spans="3:15">
      <c r="C693" s="537">
        <f>IF(D631="","-",+C692+1)</f>
        <v>2072</v>
      </c>
      <c r="D693" s="495">
        <f t="shared" si="36"/>
        <v>0</v>
      </c>
      <c r="E693" s="538">
        <f t="shared" si="41"/>
        <v>0</v>
      </c>
      <c r="F693" s="495">
        <f t="shared" si="37"/>
        <v>0</v>
      </c>
      <c r="G693" s="543">
        <f t="shared" si="38"/>
        <v>0</v>
      </c>
      <c r="H693" s="544">
        <f t="shared" si="39"/>
        <v>0</v>
      </c>
      <c r="I693" s="541">
        <f t="shared" si="40"/>
        <v>0</v>
      </c>
      <c r="J693" s="541"/>
      <c r="K693" s="561"/>
      <c r="L693" s="545"/>
      <c r="M693" s="561"/>
      <c r="N693" s="545"/>
      <c r="O693" s="545"/>
    </row>
    <row r="694" spans="3:15">
      <c r="C694" s="537">
        <f>IF(D631="","-",+C693+1)</f>
        <v>2073</v>
      </c>
      <c r="D694" s="495">
        <f t="shared" si="36"/>
        <v>0</v>
      </c>
      <c r="E694" s="538">
        <f t="shared" si="41"/>
        <v>0</v>
      </c>
      <c r="F694" s="495">
        <f t="shared" si="37"/>
        <v>0</v>
      </c>
      <c r="G694" s="543">
        <f t="shared" si="38"/>
        <v>0</v>
      </c>
      <c r="H694" s="544">
        <f t="shared" si="39"/>
        <v>0</v>
      </c>
      <c r="I694" s="541">
        <f t="shared" si="40"/>
        <v>0</v>
      </c>
      <c r="J694" s="541"/>
      <c r="K694" s="561"/>
      <c r="L694" s="545"/>
      <c r="M694" s="561"/>
      <c r="N694" s="545"/>
      <c r="O694" s="545"/>
    </row>
    <row r="695" spans="3:15">
      <c r="C695" s="537">
        <f>IF(D631="","-",+C694+1)</f>
        <v>2074</v>
      </c>
      <c r="D695" s="495">
        <f t="shared" si="36"/>
        <v>0</v>
      </c>
      <c r="E695" s="538">
        <f t="shared" si="41"/>
        <v>0</v>
      </c>
      <c r="F695" s="495">
        <f t="shared" si="37"/>
        <v>0</v>
      </c>
      <c r="G695" s="543">
        <f t="shared" si="38"/>
        <v>0</v>
      </c>
      <c r="H695" s="544">
        <f t="shared" si="39"/>
        <v>0</v>
      </c>
      <c r="I695" s="541">
        <f t="shared" si="40"/>
        <v>0</v>
      </c>
      <c r="J695" s="541"/>
      <c r="K695" s="561"/>
      <c r="L695" s="545"/>
      <c r="M695" s="561"/>
      <c r="N695" s="545"/>
      <c r="O695" s="545"/>
    </row>
    <row r="696" spans="3:15" ht="13.5" thickBot="1">
      <c r="C696" s="547">
        <f>IF(D631="","-",+C695+1)</f>
        <v>2075</v>
      </c>
      <c r="D696" s="548">
        <f t="shared" si="36"/>
        <v>0</v>
      </c>
      <c r="E696" s="549">
        <f t="shared" si="41"/>
        <v>0</v>
      </c>
      <c r="F696" s="548">
        <f t="shared" si="37"/>
        <v>0</v>
      </c>
      <c r="G696" s="550">
        <f t="shared" si="38"/>
        <v>0</v>
      </c>
      <c r="H696" s="550">
        <f t="shared" si="39"/>
        <v>0</v>
      </c>
      <c r="I696" s="551">
        <f t="shared" si="40"/>
        <v>0</v>
      </c>
      <c r="J696" s="541"/>
      <c r="K696" s="562"/>
      <c r="L696" s="552"/>
      <c r="M696" s="562"/>
      <c r="N696" s="552"/>
      <c r="O696" s="552"/>
    </row>
    <row r="697" spans="3:15">
      <c r="C697" s="495" t="s">
        <v>91</v>
      </c>
      <c r="D697" s="492"/>
      <c r="E697" s="492">
        <f>SUM(E637:E696)</f>
        <v>50142658.399999991</v>
      </c>
      <c r="F697" s="492"/>
      <c r="G697" s="492">
        <f>SUM(G637:G696)</f>
        <v>156763990.51588485</v>
      </c>
      <c r="H697" s="492">
        <f>SUM(H637:H696)</f>
        <v>156763990.51588485</v>
      </c>
      <c r="I697" s="492">
        <f>SUM(I637:I696)</f>
        <v>0</v>
      </c>
      <c r="J697" s="492"/>
      <c r="K697" s="492"/>
      <c r="L697" s="492"/>
      <c r="M697" s="492"/>
      <c r="N697" s="492"/>
      <c r="O697" s="3"/>
    </row>
    <row r="698" spans="3:15">
      <c r="D698" s="47"/>
      <c r="E698" s="3"/>
      <c r="F698" s="3"/>
      <c r="G698" s="3"/>
      <c r="H698" s="479"/>
      <c r="I698" s="479"/>
      <c r="J698" s="492"/>
      <c r="K698" s="479"/>
      <c r="L698" s="479"/>
      <c r="M698" s="479"/>
      <c r="N698" s="479"/>
      <c r="O698" s="3"/>
    </row>
    <row r="699" spans="3:15">
      <c r="C699" s="3" t="s">
        <v>13</v>
      </c>
      <c r="D699" s="47"/>
      <c r="E699" s="3"/>
      <c r="F699" s="3"/>
      <c r="G699" s="3"/>
      <c r="H699" s="479"/>
      <c r="I699" s="479"/>
      <c r="J699" s="492"/>
      <c r="K699" s="479"/>
      <c r="L699" s="479"/>
      <c r="M699" s="479"/>
      <c r="N699" s="479"/>
      <c r="O699" s="3"/>
    </row>
    <row r="700" spans="3:15">
      <c r="C700" s="3"/>
      <c r="D700" s="47"/>
      <c r="E700" s="3"/>
      <c r="F700" s="3"/>
      <c r="G700" s="3"/>
      <c r="H700" s="479"/>
      <c r="I700" s="479"/>
      <c r="J700" s="492"/>
      <c r="K700" s="479"/>
      <c r="L700" s="479"/>
      <c r="M700" s="479"/>
      <c r="N700" s="479"/>
      <c r="O700" s="3"/>
    </row>
    <row r="701" spans="3:15">
      <c r="C701" s="507" t="s">
        <v>14</v>
      </c>
      <c r="D701" s="495"/>
      <c r="E701" s="495"/>
      <c r="F701" s="495"/>
      <c r="G701" s="492"/>
      <c r="H701" s="492"/>
      <c r="I701" s="553"/>
      <c r="J701" s="553"/>
      <c r="K701" s="553"/>
      <c r="L701" s="553"/>
      <c r="M701" s="553"/>
      <c r="N701" s="553"/>
      <c r="O701" s="3"/>
    </row>
    <row r="702" spans="3:15">
      <c r="C702" s="496" t="s">
        <v>271</v>
      </c>
      <c r="D702" s="495"/>
      <c r="E702" s="495"/>
      <c r="F702" s="495"/>
      <c r="G702" s="492"/>
      <c r="H702" s="492"/>
      <c r="I702" s="553"/>
      <c r="J702" s="553"/>
      <c r="K702" s="553"/>
      <c r="L702" s="553"/>
      <c r="M702" s="553"/>
      <c r="N702" s="553"/>
      <c r="O702" s="3"/>
    </row>
    <row r="703" spans="3:15">
      <c r="C703" s="496" t="s">
        <v>92</v>
      </c>
      <c r="D703" s="495"/>
      <c r="E703" s="495"/>
      <c r="F703" s="495"/>
      <c r="G703" s="492"/>
      <c r="H703" s="492"/>
      <c r="I703" s="553"/>
      <c r="J703" s="553"/>
      <c r="K703" s="553"/>
      <c r="L703" s="553"/>
      <c r="M703" s="553"/>
      <c r="N703" s="553"/>
      <c r="O703" s="3"/>
    </row>
    <row r="704" spans="3:15">
      <c r="C704" s="496"/>
      <c r="D704" s="495"/>
      <c r="E704" s="495"/>
      <c r="F704" s="495"/>
      <c r="G704" s="492"/>
      <c r="H704" s="492"/>
      <c r="I704" s="553"/>
      <c r="J704" s="553"/>
      <c r="K704" s="553"/>
      <c r="L704" s="553"/>
      <c r="M704" s="553"/>
      <c r="N704" s="553"/>
      <c r="O704" s="3"/>
    </row>
    <row r="705" spans="1:16">
      <c r="C705" s="1185" t="s">
        <v>6</v>
      </c>
      <c r="D705" s="1185"/>
      <c r="E705" s="1185"/>
      <c r="F705" s="1185"/>
      <c r="G705" s="1185"/>
      <c r="H705" s="1185"/>
      <c r="I705" s="1185"/>
      <c r="J705" s="1185"/>
      <c r="K705" s="1185"/>
      <c r="L705" s="1185"/>
      <c r="M705" s="1185"/>
      <c r="N705" s="1185"/>
      <c r="O705" s="1185"/>
    </row>
    <row r="706" spans="1:16">
      <c r="C706" s="1185"/>
      <c r="D706" s="1185"/>
      <c r="E706" s="1185"/>
      <c r="F706" s="1185"/>
      <c r="G706" s="1185"/>
      <c r="H706" s="1185"/>
      <c r="I706" s="1185"/>
      <c r="J706" s="1185"/>
      <c r="K706" s="1185"/>
      <c r="L706" s="1185"/>
      <c r="M706" s="1185"/>
      <c r="N706" s="1185"/>
      <c r="O706" s="1185"/>
    </row>
    <row r="707" spans="1:16" ht="20.25">
      <c r="A707" s="436" t="str">
        <f>""&amp;A631&amp;" Worksheet J -  ATRR PROJECTED Calculation for PJM Projects Charged to Benefiting Zones"</f>
        <v xml:space="preserve"> Worksheet J -  ATRR PROJECTED Calculation for PJM Projects Charged to Benefiting Zones</v>
      </c>
      <c r="B707" s="3"/>
      <c r="C707" s="3"/>
      <c r="D707" s="47"/>
      <c r="E707" s="3"/>
      <c r="F707" s="478"/>
      <c r="G707" s="3"/>
      <c r="H707" s="479"/>
      <c r="K707" s="387"/>
      <c r="L707" s="387"/>
      <c r="M707" s="387"/>
      <c r="N707" s="387" t="str">
        <f>"Page "&amp;SUM(P$8:P707)&amp;" of "</f>
        <v xml:space="preserve">Page 9 of </v>
      </c>
      <c r="O707" s="437">
        <f>COUNT(P$8:P$56562)</f>
        <v>12</v>
      </c>
      <c r="P707">
        <v>1</v>
      </c>
    </row>
    <row r="708" spans="1:16" ht="20.25">
      <c r="A708" s="436"/>
      <c r="B708" s="3"/>
      <c r="C708" s="3"/>
      <c r="D708" s="47"/>
      <c r="E708" s="3"/>
      <c r="F708" s="478"/>
      <c r="G708" s="3"/>
      <c r="H708" s="479"/>
      <c r="K708" s="387"/>
      <c r="L708" s="387"/>
      <c r="M708" s="387"/>
      <c r="N708" s="387"/>
      <c r="O708" s="437"/>
    </row>
    <row r="709" spans="1:16" ht="18">
      <c r="B709" s="438" t="s">
        <v>472</v>
      </c>
      <c r="C709" s="119" t="s">
        <v>93</v>
      </c>
      <c r="D709" s="47"/>
      <c r="E709" s="3"/>
      <c r="F709" s="3"/>
      <c r="G709" s="3"/>
      <c r="H709" s="479"/>
      <c r="I709" s="479"/>
      <c r="J709" s="492"/>
      <c r="K709" s="479"/>
      <c r="L709" s="479"/>
      <c r="M709" s="479"/>
      <c r="N709" s="479"/>
      <c r="O709" s="3"/>
    </row>
    <row r="710" spans="1:16" ht="18.75">
      <c r="B710" s="438"/>
      <c r="C710" s="6"/>
      <c r="D710" s="47"/>
      <c r="E710" s="3"/>
      <c r="F710" s="3"/>
      <c r="G710" s="3"/>
      <c r="H710" s="479"/>
      <c r="I710" s="479"/>
      <c r="J710" s="492"/>
      <c r="K710" s="479"/>
      <c r="L710" s="479"/>
      <c r="M710" s="479"/>
      <c r="N710" s="479"/>
      <c r="O710" s="3"/>
    </row>
    <row r="711" spans="1:16" ht="18.75">
      <c r="B711" s="438"/>
      <c r="C711" s="6" t="s">
        <v>94</v>
      </c>
      <c r="D711" s="47"/>
      <c r="E711" s="3"/>
      <c r="F711" s="3"/>
      <c r="G711" s="3"/>
      <c r="H711" s="479"/>
      <c r="I711" s="479"/>
      <c r="J711" s="492"/>
      <c r="K711" s="479"/>
      <c r="L711" s="479"/>
      <c r="M711" s="479"/>
      <c r="N711" s="479"/>
      <c r="O711" s="3"/>
    </row>
    <row r="712" spans="1:16" ht="15.75" thickBot="1">
      <c r="C712" s="128"/>
      <c r="D712" s="47"/>
      <c r="E712" s="3"/>
      <c r="F712" s="3"/>
      <c r="G712" s="3"/>
      <c r="H712" s="479"/>
      <c r="I712" s="479"/>
      <c r="J712" s="492"/>
      <c r="K712" s="479"/>
      <c r="L712" s="479"/>
      <c r="M712" s="479"/>
      <c r="N712" s="479"/>
      <c r="O712" s="3"/>
    </row>
    <row r="713" spans="1:16" ht="15.75">
      <c r="C713" s="440" t="s">
        <v>95</v>
      </c>
      <c r="D713" s="47"/>
      <c r="E713" s="3"/>
      <c r="F713" s="3"/>
      <c r="G713" s="555"/>
      <c r="H713" s="3" t="s">
        <v>74</v>
      </c>
      <c r="I713" s="3"/>
      <c r="J713" s="3"/>
      <c r="K713" s="498" t="s">
        <v>99</v>
      </c>
      <c r="L713" s="499"/>
      <c r="M713" s="500"/>
      <c r="N713" s="501">
        <f>IF(I719=0,0,VLOOKUP(I719,C726:O785,5))</f>
        <v>6882274.1067504622</v>
      </c>
      <c r="O713" s="3"/>
    </row>
    <row r="714" spans="1:16" ht="15.75">
      <c r="C714" s="440"/>
      <c r="D714" s="47"/>
      <c r="E714" s="3"/>
      <c r="F714" s="3"/>
      <c r="G714" s="3"/>
      <c r="H714" s="502"/>
      <c r="I714" s="502"/>
      <c r="J714" s="503"/>
      <c r="K714" s="504" t="s">
        <v>100</v>
      </c>
      <c r="L714" s="505"/>
      <c r="M714" s="3"/>
      <c r="N714" s="506">
        <f>IF(I719=0,0,VLOOKUP(I719,C726:O785,6))</f>
        <v>6882274.1067504622</v>
      </c>
      <c r="O714" s="3"/>
    </row>
    <row r="715" spans="1:16" ht="13.5" thickBot="1">
      <c r="C715" s="507" t="s">
        <v>96</v>
      </c>
      <c r="D715" s="1196" t="s">
        <v>820</v>
      </c>
      <c r="E715" s="1196"/>
      <c r="F715" s="1196"/>
      <c r="G715" s="1196"/>
      <c r="H715" s="1196"/>
      <c r="I715" s="1196"/>
      <c r="J715" s="492"/>
      <c r="K715" s="508" t="s">
        <v>238</v>
      </c>
      <c r="L715" s="509"/>
      <c r="M715" s="509"/>
      <c r="N715" s="510">
        <f>+N714-N713</f>
        <v>0</v>
      </c>
      <c r="O715" s="3"/>
    </row>
    <row r="716" spans="1:16">
      <c r="C716" s="511"/>
      <c r="D716" s="1196"/>
      <c r="E716" s="1196"/>
      <c r="F716" s="1196"/>
      <c r="G716" s="1196"/>
      <c r="H716" s="1196"/>
      <c r="I716" s="1196"/>
      <c r="J716" s="492"/>
      <c r="K716" s="479"/>
      <c r="L716" s="479"/>
      <c r="M716" s="479"/>
      <c r="N716" s="479"/>
      <c r="O716" s="3"/>
    </row>
    <row r="717" spans="1:16" ht="13.5" thickBot="1">
      <c r="C717" s="511"/>
      <c r="D717" s="3"/>
      <c r="E717" s="513"/>
      <c r="F717" s="513"/>
      <c r="G717" s="513"/>
      <c r="H717" s="513"/>
      <c r="I717" s="513"/>
      <c r="J717" s="513"/>
      <c r="K717" s="513"/>
      <c r="L717" s="513"/>
      <c r="M717" s="513"/>
      <c r="N717" s="513"/>
      <c r="O717" s="3"/>
    </row>
    <row r="718" spans="1:16" ht="13.5" thickBot="1">
      <c r="C718" s="514" t="s">
        <v>97</v>
      </c>
      <c r="D718" s="515"/>
      <c r="E718" s="515"/>
      <c r="F718" s="515"/>
      <c r="G718" s="515"/>
      <c r="H718" s="515"/>
      <c r="I718" s="516"/>
      <c r="K718" s="3"/>
      <c r="L718" s="3"/>
      <c r="M718" s="3"/>
      <c r="N718" s="3"/>
      <c r="O718" s="3"/>
    </row>
    <row r="719" spans="1:16" ht="15">
      <c r="C719" s="517" t="s">
        <v>75</v>
      </c>
      <c r="D719" s="936">
        <v>62476006.199999996</v>
      </c>
      <c r="E719" s="3" t="s">
        <v>76</v>
      </c>
      <c r="G719" s="47"/>
      <c r="H719" s="47"/>
      <c r="I719" s="518">
        <f>$L$26</f>
        <v>2026</v>
      </c>
      <c r="J719" s="70"/>
      <c r="K719" s="1186" t="s">
        <v>247</v>
      </c>
      <c r="L719" s="1186"/>
      <c r="M719" s="1186"/>
      <c r="N719" s="1186"/>
      <c r="O719" s="1186"/>
    </row>
    <row r="720" spans="1:16">
      <c r="C720" s="517" t="s">
        <v>78</v>
      </c>
      <c r="D720" s="558">
        <v>2016</v>
      </c>
      <c r="E720" s="517" t="s">
        <v>79</v>
      </c>
      <c r="F720" s="47"/>
      <c r="H720"/>
      <c r="I720" s="559">
        <f>IF(G713="",0,$F$17)</f>
        <v>0</v>
      </c>
      <c r="J720" s="519"/>
      <c r="K720" s="492" t="s">
        <v>247</v>
      </c>
    </row>
    <row r="721" spans="2:15">
      <c r="C721" s="517" t="s">
        <v>80</v>
      </c>
      <c r="D721" s="937">
        <v>12</v>
      </c>
      <c r="E721" s="517" t="s">
        <v>81</v>
      </c>
      <c r="F721" s="47"/>
      <c r="H721"/>
      <c r="I721" s="520">
        <f>$G$70</f>
        <v>0.11191367266500543</v>
      </c>
      <c r="J721" s="478"/>
      <c r="K721" t="str">
        <f>"          INPUT PROJECTED ARR (WITH &amp; WITHOUT INCENTIVES) FROM EACH PRIOR YEAR"</f>
        <v xml:space="preserve">          INPUT PROJECTED ARR (WITH &amp; WITHOUT INCENTIVES) FROM EACH PRIOR YEAR</v>
      </c>
    </row>
    <row r="722" spans="2:15">
      <c r="C722" s="517" t="s">
        <v>82</v>
      </c>
      <c r="D722" s="521">
        <f>$G$79</f>
        <v>36</v>
      </c>
      <c r="E722" s="517" t="s">
        <v>83</v>
      </c>
      <c r="F722" s="47"/>
      <c r="H722"/>
      <c r="I722" s="520">
        <f>IF(G713="",I721,$G$69)</f>
        <v>0.11191367266500543</v>
      </c>
      <c r="J722" s="478"/>
      <c r="K722" t="s">
        <v>160</v>
      </c>
    </row>
    <row r="723" spans="2:15" ht="13.5" thickBot="1">
      <c r="C723" s="517" t="s">
        <v>84</v>
      </c>
      <c r="D723" s="556" t="s">
        <v>810</v>
      </c>
      <c r="E723" s="522" t="s">
        <v>85</v>
      </c>
      <c r="F723" s="523"/>
      <c r="G723" s="524"/>
      <c r="H723" s="524"/>
      <c r="I723" s="510">
        <f>IF(D719=0,0,D719/D722)</f>
        <v>1735444.6166666665</v>
      </c>
      <c r="J723" s="492"/>
      <c r="K723" s="492" t="s">
        <v>166</v>
      </c>
      <c r="L723" s="492"/>
      <c r="M723" s="492"/>
      <c r="N723" s="492"/>
      <c r="O723" s="3"/>
    </row>
    <row r="724" spans="2:15" ht="51">
      <c r="B724" s="439"/>
      <c r="C724" s="525" t="s">
        <v>75</v>
      </c>
      <c r="D724" s="526" t="s">
        <v>86</v>
      </c>
      <c r="E724" s="527" t="s">
        <v>87</v>
      </c>
      <c r="F724" s="526" t="s">
        <v>88</v>
      </c>
      <c r="G724" s="527" t="s">
        <v>159</v>
      </c>
      <c r="H724" s="528" t="s">
        <v>159</v>
      </c>
      <c r="I724" s="525" t="s">
        <v>98</v>
      </c>
      <c r="J724" s="529"/>
      <c r="K724" s="527" t="s">
        <v>168</v>
      </c>
      <c r="L724" s="530"/>
      <c r="M724" s="527" t="s">
        <v>168</v>
      </c>
      <c r="N724" s="530"/>
      <c r="O724" s="530"/>
    </row>
    <row r="725" spans="2:15" ht="13.5" thickBot="1">
      <c r="C725" s="531" t="s">
        <v>475</v>
      </c>
      <c r="D725" s="532" t="s">
        <v>476</v>
      </c>
      <c r="E725" s="531" t="s">
        <v>369</v>
      </c>
      <c r="F725" s="532" t="s">
        <v>476</v>
      </c>
      <c r="G725" s="533" t="s">
        <v>101</v>
      </c>
      <c r="H725" s="534" t="s">
        <v>103</v>
      </c>
      <c r="I725" s="531" t="s">
        <v>15</v>
      </c>
      <c r="J725" s="535"/>
      <c r="K725" s="533" t="s">
        <v>90</v>
      </c>
      <c r="L725" s="536"/>
      <c r="M725" s="533" t="s">
        <v>103</v>
      </c>
      <c r="N725" s="536"/>
      <c r="O725" s="536"/>
    </row>
    <row r="726" spans="2:15">
      <c r="C726" s="537">
        <f>IF(D720= "","-",D720)</f>
        <v>2016</v>
      </c>
      <c r="D726" s="495">
        <f>+D719</f>
        <v>62476006.199999996</v>
      </c>
      <c r="E726" s="538">
        <f>+I723/12*(12-D721)</f>
        <v>0</v>
      </c>
      <c r="F726" s="495">
        <f>+D726-E726</f>
        <v>62476006.199999996</v>
      </c>
      <c r="G726" s="705">
        <f>+$I$96*((D726+F726)/2)+E726</f>
        <v>6991919.3072836492</v>
      </c>
      <c r="H726" s="706">
        <f>$I$97*((D726+F726)/2)+E726</f>
        <v>6991919.3072836492</v>
      </c>
      <c r="I726" s="541">
        <f>+H726-G726</f>
        <v>0</v>
      </c>
      <c r="J726" s="541"/>
      <c r="K726" s="560">
        <v>5764647</v>
      </c>
      <c r="L726" s="542"/>
      <c r="M726" s="560">
        <v>5764647</v>
      </c>
      <c r="N726" s="542"/>
      <c r="O726" s="542"/>
    </row>
    <row r="727" spans="2:15">
      <c r="C727" s="537">
        <f>IF(D720="","-",+C726+1)</f>
        <v>2017</v>
      </c>
      <c r="D727" s="495">
        <f t="shared" ref="D727:D785" si="42">F726</f>
        <v>62476006.199999996</v>
      </c>
      <c r="E727" s="538">
        <f>IF(D727&gt;$I$723,$I$723,D727)</f>
        <v>1735444.6166666665</v>
      </c>
      <c r="F727" s="495">
        <f t="shared" ref="F727:F785" si="43">+D727-E727</f>
        <v>60740561.583333328</v>
      </c>
      <c r="G727" s="543">
        <f t="shared" ref="G727:G785" si="44">+$I$96*((D727+F727)/2)+E727</f>
        <v>8630253.9335713778</v>
      </c>
      <c r="H727" s="544">
        <f t="shared" ref="H727:H785" si="45">$I$97*((D727+F727)/2)+E727</f>
        <v>8630253.9335713778</v>
      </c>
      <c r="I727" s="541">
        <f t="shared" ref="I727:I785" si="46">+H727-G727</f>
        <v>0</v>
      </c>
      <c r="J727" s="541"/>
      <c r="K727" s="561">
        <v>7201236</v>
      </c>
      <c r="L727" s="545"/>
      <c r="M727" s="561">
        <v>7201236</v>
      </c>
      <c r="N727" s="545"/>
      <c r="O727" s="545"/>
    </row>
    <row r="728" spans="2:15">
      <c r="C728" s="943">
        <f>IF(D720="","-",+C727+1)</f>
        <v>2018</v>
      </c>
      <c r="D728" s="495">
        <f t="shared" si="42"/>
        <v>60740561.583333328</v>
      </c>
      <c r="E728" s="538">
        <f t="shared" ref="E728:E785" si="47">IF(D728&gt;$I$723,$I$723,D728)</f>
        <v>1735444.6166666665</v>
      </c>
      <c r="F728" s="495">
        <f t="shared" si="43"/>
        <v>59005116.966666661</v>
      </c>
      <c r="G728" s="543">
        <f t="shared" si="44"/>
        <v>8436033.9528134968</v>
      </c>
      <c r="H728" s="544">
        <f t="shared" si="45"/>
        <v>8436033.9528134968</v>
      </c>
      <c r="I728" s="541">
        <f t="shared" si="46"/>
        <v>0</v>
      </c>
      <c r="J728" s="541"/>
      <c r="K728" s="561">
        <v>7115546</v>
      </c>
      <c r="L728" s="545"/>
      <c r="M728" s="561">
        <v>7115546</v>
      </c>
      <c r="N728" s="545"/>
      <c r="O728" s="545"/>
    </row>
    <row r="729" spans="2:15">
      <c r="C729" s="943">
        <f>IF(D720="","-",+C728+1)</f>
        <v>2019</v>
      </c>
      <c r="D729" s="495">
        <f t="shared" si="42"/>
        <v>59005116.966666661</v>
      </c>
      <c r="E729" s="538">
        <f t="shared" si="47"/>
        <v>1735444.6166666665</v>
      </c>
      <c r="F729" s="495">
        <f t="shared" si="43"/>
        <v>57269672.349999994</v>
      </c>
      <c r="G729" s="543">
        <f t="shared" si="44"/>
        <v>8241813.9720556177</v>
      </c>
      <c r="H729" s="544">
        <f t="shared" si="45"/>
        <v>8241813.9720556177</v>
      </c>
      <c r="I729" s="541">
        <f t="shared" si="46"/>
        <v>0</v>
      </c>
      <c r="J729" s="541"/>
      <c r="K729" s="561">
        <v>7533264.1272044405</v>
      </c>
      <c r="L729" s="545"/>
      <c r="M729" s="561">
        <v>7533264.1272044405</v>
      </c>
      <c r="N729" s="545"/>
      <c r="O729" s="545"/>
    </row>
    <row r="730" spans="2:15">
      <c r="C730" s="943">
        <f>IF(D720="","-",+C729+1)</f>
        <v>2020</v>
      </c>
      <c r="D730" s="495">
        <f t="shared" si="42"/>
        <v>57269672.349999994</v>
      </c>
      <c r="E730" s="538">
        <f t="shared" si="47"/>
        <v>1735444.6166666665</v>
      </c>
      <c r="F730" s="495">
        <f t="shared" si="43"/>
        <v>55534227.733333327</v>
      </c>
      <c r="G730" s="543">
        <f t="shared" si="44"/>
        <v>8047593.9912977377</v>
      </c>
      <c r="H730" s="544">
        <f t="shared" si="45"/>
        <v>8047593.9912977377</v>
      </c>
      <c r="I730" s="541">
        <f t="shared" si="46"/>
        <v>0</v>
      </c>
      <c r="J730" s="541"/>
      <c r="K730" s="561">
        <v>4004462.7144813207</v>
      </c>
      <c r="L730" s="545"/>
      <c r="M730" s="561">
        <v>4004462.7144813207</v>
      </c>
      <c r="N730" s="545"/>
      <c r="O730" s="545"/>
    </row>
    <row r="731" spans="2:15">
      <c r="C731" s="537">
        <f>IF(D720="","-",+C730+1)</f>
        <v>2021</v>
      </c>
      <c r="D731" s="495">
        <f t="shared" si="42"/>
        <v>55534227.733333327</v>
      </c>
      <c r="E731" s="538">
        <f t="shared" si="47"/>
        <v>1735444.6166666665</v>
      </c>
      <c r="F731" s="495">
        <f t="shared" si="43"/>
        <v>53798783.11666666</v>
      </c>
      <c r="G731" s="543">
        <f t="shared" si="44"/>
        <v>7853374.0105398595</v>
      </c>
      <c r="H731" s="544">
        <f t="shared" si="45"/>
        <v>7853374.0105398595</v>
      </c>
      <c r="I731" s="541">
        <f t="shared" si="46"/>
        <v>0</v>
      </c>
      <c r="J731" s="541"/>
      <c r="K731" s="561">
        <v>7598316.548162899</v>
      </c>
      <c r="L731" s="545"/>
      <c r="M731" s="561">
        <v>7598316.548162899</v>
      </c>
      <c r="N731" s="545"/>
      <c r="O731" s="545"/>
    </row>
    <row r="732" spans="2:15">
      <c r="C732" s="943">
        <f>IF(D720="","-",+C731+1)</f>
        <v>2022</v>
      </c>
      <c r="D732" s="495">
        <f t="shared" si="42"/>
        <v>53798783.11666666</v>
      </c>
      <c r="E732" s="538">
        <f t="shared" si="47"/>
        <v>1735444.6166666665</v>
      </c>
      <c r="F732" s="495">
        <f t="shared" si="43"/>
        <v>52063338.499999993</v>
      </c>
      <c r="G732" s="543">
        <f t="shared" si="44"/>
        <v>7659154.0297819795</v>
      </c>
      <c r="H732" s="544">
        <f t="shared" si="45"/>
        <v>7659154.0297819795</v>
      </c>
      <c r="I732" s="541">
        <f t="shared" si="46"/>
        <v>0</v>
      </c>
      <c r="J732" s="541"/>
      <c r="K732" s="561">
        <v>7752754.0788356252</v>
      </c>
      <c r="L732" s="545"/>
      <c r="M732" s="561">
        <v>7752754.0788356252</v>
      </c>
      <c r="N732" s="545"/>
      <c r="O732" s="545"/>
    </row>
    <row r="733" spans="2:15">
      <c r="C733" s="537">
        <f>IF(D720="","-",+C732+1)</f>
        <v>2023</v>
      </c>
      <c r="D733" s="495">
        <f t="shared" si="42"/>
        <v>52063338.499999993</v>
      </c>
      <c r="E733" s="538">
        <f t="shared" si="47"/>
        <v>1735444.6166666665</v>
      </c>
      <c r="F733" s="495">
        <f t="shared" si="43"/>
        <v>50327893.883333325</v>
      </c>
      <c r="G733" s="543">
        <f t="shared" si="44"/>
        <v>7464934.0490241013</v>
      </c>
      <c r="H733" s="544">
        <f t="shared" si="45"/>
        <v>7464934.0490241013</v>
      </c>
      <c r="I733" s="541">
        <f t="shared" si="46"/>
        <v>0</v>
      </c>
      <c r="J733" s="541"/>
      <c r="K733" s="561">
        <v>7567767.6324523874</v>
      </c>
      <c r="L733" s="545"/>
      <c r="M733" s="561">
        <v>7567767.6324523874</v>
      </c>
      <c r="N733" s="545"/>
      <c r="O733" s="545"/>
    </row>
    <row r="734" spans="2:15">
      <c r="C734" s="537">
        <f>IF(D720="","-",+C733+1)</f>
        <v>2024</v>
      </c>
      <c r="D734" s="495">
        <f t="shared" si="42"/>
        <v>50327893.883333325</v>
      </c>
      <c r="E734" s="538">
        <f t="shared" si="47"/>
        <v>1735444.6166666665</v>
      </c>
      <c r="F734" s="495">
        <f t="shared" si="43"/>
        <v>48592449.266666658</v>
      </c>
      <c r="G734" s="543">
        <f t="shared" si="44"/>
        <v>7270714.0682662213</v>
      </c>
      <c r="H734" s="544">
        <f t="shared" si="45"/>
        <v>7270714.0682662213</v>
      </c>
      <c r="I734" s="541">
        <f t="shared" si="46"/>
        <v>0</v>
      </c>
      <c r="J734" s="541"/>
      <c r="K734" s="561">
        <v>7344080.0445956755</v>
      </c>
      <c r="L734" s="545"/>
      <c r="M734" s="561">
        <v>7344080.0445956755</v>
      </c>
      <c r="N734" s="545"/>
      <c r="O734" s="545"/>
    </row>
    <row r="735" spans="2:15">
      <c r="C735" s="537">
        <f>IF(D720="","-",+C734+1)</f>
        <v>2025</v>
      </c>
      <c r="D735" s="495">
        <f t="shared" si="42"/>
        <v>48592449.266666658</v>
      </c>
      <c r="E735" s="538">
        <f t="shared" si="47"/>
        <v>1735444.6166666665</v>
      </c>
      <c r="F735" s="495">
        <f t="shared" si="43"/>
        <v>46857004.649999991</v>
      </c>
      <c r="G735" s="543">
        <f t="shared" si="44"/>
        <v>7076494.0875083422</v>
      </c>
      <c r="H735" s="544">
        <f t="shared" si="45"/>
        <v>7076494.0875083422</v>
      </c>
      <c r="I735" s="541">
        <f t="shared" si="46"/>
        <v>0</v>
      </c>
      <c r="J735" s="541"/>
      <c r="K735" s="561">
        <v>7220182.9339956883</v>
      </c>
      <c r="L735" s="545"/>
      <c r="M735" s="561">
        <v>7220182.9339956883</v>
      </c>
      <c r="N735" s="545"/>
      <c r="O735" s="545"/>
    </row>
    <row r="736" spans="2:15">
      <c r="C736" s="935">
        <f>IF(D720="","-",+C735+1)</f>
        <v>2026</v>
      </c>
      <c r="D736" s="495">
        <f t="shared" si="42"/>
        <v>46857004.649999991</v>
      </c>
      <c r="E736" s="538">
        <f t="shared" si="47"/>
        <v>1735444.6166666665</v>
      </c>
      <c r="F736" s="495">
        <f t="shared" si="43"/>
        <v>45121560.033333324</v>
      </c>
      <c r="G736" s="543">
        <f t="shared" si="44"/>
        <v>6882274.1067504622</v>
      </c>
      <c r="H736" s="544">
        <f t="shared" si="45"/>
        <v>6882274.1067504622</v>
      </c>
      <c r="I736" s="541">
        <f t="shared" si="46"/>
        <v>0</v>
      </c>
      <c r="J736" s="541"/>
      <c r="K736" s="561"/>
      <c r="L736" s="545"/>
      <c r="M736" s="561"/>
      <c r="N736" s="545"/>
      <c r="O736" s="545"/>
    </row>
    <row r="737" spans="3:15">
      <c r="C737" s="537">
        <f>IF(D720="","-",+C736+1)</f>
        <v>2027</v>
      </c>
      <c r="D737" s="495">
        <f t="shared" si="42"/>
        <v>45121560.033333324</v>
      </c>
      <c r="E737" s="538">
        <f t="shared" si="47"/>
        <v>1735444.6166666665</v>
      </c>
      <c r="F737" s="495">
        <f t="shared" si="43"/>
        <v>43386115.416666657</v>
      </c>
      <c r="G737" s="543">
        <f t="shared" si="44"/>
        <v>6688054.125992584</v>
      </c>
      <c r="H737" s="544">
        <f t="shared" si="45"/>
        <v>6688054.125992584</v>
      </c>
      <c r="I737" s="541">
        <f t="shared" si="46"/>
        <v>0</v>
      </c>
      <c r="J737" s="541"/>
      <c r="K737" s="561"/>
      <c r="L737" s="545"/>
      <c r="M737" s="561"/>
      <c r="N737" s="545"/>
      <c r="O737" s="545"/>
    </row>
    <row r="738" spans="3:15">
      <c r="C738" s="537">
        <f>IF(D720="","-",+C737+1)</f>
        <v>2028</v>
      </c>
      <c r="D738" s="495">
        <f t="shared" si="42"/>
        <v>43386115.416666657</v>
      </c>
      <c r="E738" s="538">
        <f t="shared" si="47"/>
        <v>1735444.6166666665</v>
      </c>
      <c r="F738" s="495">
        <f t="shared" si="43"/>
        <v>41650670.79999999</v>
      </c>
      <c r="G738" s="543">
        <f t="shared" si="44"/>
        <v>6493834.145234704</v>
      </c>
      <c r="H738" s="544">
        <f t="shared" si="45"/>
        <v>6493834.145234704</v>
      </c>
      <c r="I738" s="541">
        <f t="shared" si="46"/>
        <v>0</v>
      </c>
      <c r="J738" s="541"/>
      <c r="K738" s="561"/>
      <c r="L738" s="545"/>
      <c r="M738" s="561"/>
      <c r="N738" s="546"/>
      <c r="O738" s="545"/>
    </row>
    <row r="739" spans="3:15">
      <c r="C739" s="537">
        <f>IF(D720="","-",+C738+1)</f>
        <v>2029</v>
      </c>
      <c r="D739" s="495">
        <f t="shared" si="42"/>
        <v>41650670.79999999</v>
      </c>
      <c r="E739" s="538">
        <f t="shared" si="47"/>
        <v>1735444.6166666665</v>
      </c>
      <c r="F739" s="495">
        <f t="shared" si="43"/>
        <v>39915226.183333322</v>
      </c>
      <c r="G739" s="543">
        <f t="shared" si="44"/>
        <v>6299614.1644768259</v>
      </c>
      <c r="H739" s="544">
        <f t="shared" si="45"/>
        <v>6299614.1644768259</v>
      </c>
      <c r="I739" s="541">
        <f t="shared" si="46"/>
        <v>0</v>
      </c>
      <c r="J739" s="541"/>
      <c r="K739" s="561"/>
      <c r="L739" s="545"/>
      <c r="M739" s="561"/>
      <c r="N739" s="545"/>
      <c r="O739" s="545"/>
    </row>
    <row r="740" spans="3:15">
      <c r="C740" s="537">
        <f>IF(D720="","-",+C739+1)</f>
        <v>2030</v>
      </c>
      <c r="D740" s="495">
        <f t="shared" si="42"/>
        <v>39915226.183333322</v>
      </c>
      <c r="E740" s="538">
        <f t="shared" si="47"/>
        <v>1735444.6166666665</v>
      </c>
      <c r="F740" s="495">
        <f t="shared" si="43"/>
        <v>38179781.566666655</v>
      </c>
      <c r="G740" s="543">
        <f t="shared" si="44"/>
        <v>6105394.1837189458</v>
      </c>
      <c r="H740" s="544">
        <f t="shared" si="45"/>
        <v>6105394.1837189458</v>
      </c>
      <c r="I740" s="541">
        <f t="shared" si="46"/>
        <v>0</v>
      </c>
      <c r="J740" s="541"/>
      <c r="K740" s="561"/>
      <c r="L740" s="545"/>
      <c r="M740" s="561"/>
      <c r="N740" s="545"/>
      <c r="O740" s="545"/>
    </row>
    <row r="741" spans="3:15">
      <c r="C741" s="537">
        <f>IF(D720="","-",+C740+1)</f>
        <v>2031</v>
      </c>
      <c r="D741" s="495">
        <f t="shared" si="42"/>
        <v>38179781.566666655</v>
      </c>
      <c r="E741" s="538">
        <f t="shared" si="47"/>
        <v>1735444.6166666665</v>
      </c>
      <c r="F741" s="495">
        <f t="shared" si="43"/>
        <v>36444336.949999988</v>
      </c>
      <c r="G741" s="543">
        <f t="shared" si="44"/>
        <v>5911174.2029610677</v>
      </c>
      <c r="H741" s="544">
        <f t="shared" si="45"/>
        <v>5911174.2029610677</v>
      </c>
      <c r="I741" s="541">
        <f t="shared" si="46"/>
        <v>0</v>
      </c>
      <c r="J741" s="541"/>
      <c r="K741" s="561"/>
      <c r="L741" s="545"/>
      <c r="M741" s="561"/>
      <c r="N741" s="545"/>
      <c r="O741" s="545"/>
    </row>
    <row r="742" spans="3:15">
      <c r="C742" s="537">
        <f>IF(D720="","-",+C741+1)</f>
        <v>2032</v>
      </c>
      <c r="D742" s="495">
        <f t="shared" si="42"/>
        <v>36444336.949999988</v>
      </c>
      <c r="E742" s="538">
        <f t="shared" si="47"/>
        <v>1735444.6166666665</v>
      </c>
      <c r="F742" s="495">
        <f t="shared" si="43"/>
        <v>34708892.333333321</v>
      </c>
      <c r="G742" s="543">
        <f t="shared" si="44"/>
        <v>5716954.2222031876</v>
      </c>
      <c r="H742" s="544">
        <f t="shared" si="45"/>
        <v>5716954.2222031876</v>
      </c>
      <c r="I742" s="541">
        <f t="shared" si="46"/>
        <v>0</v>
      </c>
      <c r="J742" s="541"/>
      <c r="K742" s="561"/>
      <c r="L742" s="545"/>
      <c r="M742" s="561"/>
      <c r="N742" s="545"/>
      <c r="O742" s="545"/>
    </row>
    <row r="743" spans="3:15">
      <c r="C743" s="537">
        <f>IF(D720="","-",+C742+1)</f>
        <v>2033</v>
      </c>
      <c r="D743" s="495">
        <f t="shared" si="42"/>
        <v>34708892.333333321</v>
      </c>
      <c r="E743" s="538">
        <f t="shared" si="47"/>
        <v>1735444.6166666665</v>
      </c>
      <c r="F743" s="495">
        <f t="shared" si="43"/>
        <v>32973447.716666654</v>
      </c>
      <c r="G743" s="543">
        <f t="shared" si="44"/>
        <v>5522734.2414453095</v>
      </c>
      <c r="H743" s="544">
        <f t="shared" si="45"/>
        <v>5522734.2414453095</v>
      </c>
      <c r="I743" s="541">
        <f t="shared" si="46"/>
        <v>0</v>
      </c>
      <c r="J743" s="541"/>
      <c r="K743" s="561"/>
      <c r="L743" s="545"/>
      <c r="M743" s="561"/>
      <c r="N743" s="545"/>
      <c r="O743" s="545"/>
    </row>
    <row r="744" spans="3:15">
      <c r="C744" s="537">
        <f>IF(D720="","-",+C743+1)</f>
        <v>2034</v>
      </c>
      <c r="D744" s="495">
        <f t="shared" si="42"/>
        <v>32973447.716666654</v>
      </c>
      <c r="E744" s="538">
        <f t="shared" si="47"/>
        <v>1735444.6166666665</v>
      </c>
      <c r="F744" s="495">
        <f t="shared" si="43"/>
        <v>31238003.099999987</v>
      </c>
      <c r="G744" s="543">
        <f t="shared" si="44"/>
        <v>5328514.2606874295</v>
      </c>
      <c r="H744" s="544">
        <f t="shared" si="45"/>
        <v>5328514.2606874295</v>
      </c>
      <c r="I744" s="541">
        <f t="shared" si="46"/>
        <v>0</v>
      </c>
      <c r="J744" s="541"/>
      <c r="K744" s="561"/>
      <c r="L744" s="545"/>
      <c r="M744" s="561"/>
      <c r="N744" s="545"/>
      <c r="O744" s="545"/>
    </row>
    <row r="745" spans="3:15">
      <c r="C745" s="537">
        <f>IF(D720="","-",+C744+1)</f>
        <v>2035</v>
      </c>
      <c r="D745" s="495">
        <f t="shared" si="42"/>
        <v>31238003.099999987</v>
      </c>
      <c r="E745" s="538">
        <f t="shared" si="47"/>
        <v>1735444.6166666665</v>
      </c>
      <c r="F745" s="495">
        <f t="shared" si="43"/>
        <v>29502558.483333319</v>
      </c>
      <c r="G745" s="543">
        <f t="shared" si="44"/>
        <v>5134294.2799295504</v>
      </c>
      <c r="H745" s="544">
        <f t="shared" si="45"/>
        <v>5134294.2799295504</v>
      </c>
      <c r="I745" s="541">
        <f t="shared" si="46"/>
        <v>0</v>
      </c>
      <c r="J745" s="541"/>
      <c r="K745" s="561"/>
      <c r="L745" s="545"/>
      <c r="M745" s="561"/>
      <c r="N745" s="545"/>
      <c r="O745" s="545"/>
    </row>
    <row r="746" spans="3:15">
      <c r="C746" s="537">
        <f>IF(D720="","-",+C745+1)</f>
        <v>2036</v>
      </c>
      <c r="D746" s="495">
        <f t="shared" si="42"/>
        <v>29502558.483333319</v>
      </c>
      <c r="E746" s="538">
        <f t="shared" si="47"/>
        <v>1735444.6166666665</v>
      </c>
      <c r="F746" s="495">
        <f t="shared" si="43"/>
        <v>27767113.866666652</v>
      </c>
      <c r="G746" s="543">
        <f t="shared" si="44"/>
        <v>4940074.2991716713</v>
      </c>
      <c r="H746" s="544">
        <f t="shared" si="45"/>
        <v>4940074.2991716713</v>
      </c>
      <c r="I746" s="541">
        <f t="shared" si="46"/>
        <v>0</v>
      </c>
      <c r="J746" s="541"/>
      <c r="K746" s="561"/>
      <c r="L746" s="545"/>
      <c r="M746" s="561"/>
      <c r="N746" s="545"/>
      <c r="O746" s="545"/>
    </row>
    <row r="747" spans="3:15">
      <c r="C747" s="537">
        <f>IF(D720="","-",+C746+1)</f>
        <v>2037</v>
      </c>
      <c r="D747" s="495">
        <f t="shared" si="42"/>
        <v>27767113.866666652</v>
      </c>
      <c r="E747" s="538">
        <f t="shared" si="47"/>
        <v>1735444.6166666665</v>
      </c>
      <c r="F747" s="495">
        <f t="shared" si="43"/>
        <v>26031669.249999985</v>
      </c>
      <c r="G747" s="543">
        <f t="shared" si="44"/>
        <v>4745854.3184137922</v>
      </c>
      <c r="H747" s="544">
        <f t="shared" si="45"/>
        <v>4745854.3184137922</v>
      </c>
      <c r="I747" s="541">
        <f t="shared" si="46"/>
        <v>0</v>
      </c>
      <c r="J747" s="541"/>
      <c r="K747" s="561"/>
      <c r="L747" s="545"/>
      <c r="M747" s="561"/>
      <c r="N747" s="545"/>
      <c r="O747" s="545"/>
    </row>
    <row r="748" spans="3:15">
      <c r="C748" s="537">
        <f>IF(D720="","-",+C747+1)</f>
        <v>2038</v>
      </c>
      <c r="D748" s="495">
        <f t="shared" si="42"/>
        <v>26031669.249999985</v>
      </c>
      <c r="E748" s="538">
        <f t="shared" si="47"/>
        <v>1735444.6166666665</v>
      </c>
      <c r="F748" s="495">
        <f t="shared" si="43"/>
        <v>24296224.633333318</v>
      </c>
      <c r="G748" s="543">
        <f t="shared" si="44"/>
        <v>4551634.3376559131</v>
      </c>
      <c r="H748" s="544">
        <f t="shared" si="45"/>
        <v>4551634.3376559131</v>
      </c>
      <c r="I748" s="541">
        <f t="shared" si="46"/>
        <v>0</v>
      </c>
      <c r="J748" s="541"/>
      <c r="K748" s="561"/>
      <c r="L748" s="545"/>
      <c r="M748" s="561"/>
      <c r="N748" s="545"/>
      <c r="O748" s="545"/>
    </row>
    <row r="749" spans="3:15">
      <c r="C749" s="537">
        <f>IF(D720="","-",+C748+1)</f>
        <v>2039</v>
      </c>
      <c r="D749" s="495">
        <f t="shared" si="42"/>
        <v>24296224.633333318</v>
      </c>
      <c r="E749" s="538">
        <f t="shared" si="47"/>
        <v>1735444.6166666665</v>
      </c>
      <c r="F749" s="495">
        <f t="shared" si="43"/>
        <v>22560780.016666651</v>
      </c>
      <c r="G749" s="543">
        <f t="shared" si="44"/>
        <v>4357414.3568980331</v>
      </c>
      <c r="H749" s="544">
        <f t="shared" si="45"/>
        <v>4357414.3568980331</v>
      </c>
      <c r="I749" s="541">
        <f t="shared" si="46"/>
        <v>0</v>
      </c>
      <c r="J749" s="541"/>
      <c r="K749" s="561"/>
      <c r="L749" s="545"/>
      <c r="M749" s="561"/>
      <c r="N749" s="545"/>
      <c r="O749" s="545"/>
    </row>
    <row r="750" spans="3:15">
      <c r="C750" s="537">
        <f>IF(D720="","-",+C749+1)</f>
        <v>2040</v>
      </c>
      <c r="D750" s="495">
        <f t="shared" si="42"/>
        <v>22560780.016666651</v>
      </c>
      <c r="E750" s="538">
        <f t="shared" si="47"/>
        <v>1735444.6166666665</v>
      </c>
      <c r="F750" s="495">
        <f t="shared" si="43"/>
        <v>20825335.399999984</v>
      </c>
      <c r="G750" s="543">
        <f t="shared" si="44"/>
        <v>4163194.376140154</v>
      </c>
      <c r="H750" s="544">
        <f t="shared" si="45"/>
        <v>4163194.376140154</v>
      </c>
      <c r="I750" s="541">
        <f t="shared" si="46"/>
        <v>0</v>
      </c>
      <c r="J750" s="541"/>
      <c r="K750" s="561"/>
      <c r="L750" s="545"/>
      <c r="M750" s="561"/>
      <c r="N750" s="545"/>
      <c r="O750" s="545"/>
    </row>
    <row r="751" spans="3:15">
      <c r="C751" s="537">
        <f>IF(D720="","-",+C750+1)</f>
        <v>2041</v>
      </c>
      <c r="D751" s="495">
        <f t="shared" si="42"/>
        <v>20825335.399999984</v>
      </c>
      <c r="E751" s="538">
        <f t="shared" si="47"/>
        <v>1735444.6166666665</v>
      </c>
      <c r="F751" s="495">
        <f t="shared" si="43"/>
        <v>19089890.783333316</v>
      </c>
      <c r="G751" s="543">
        <f t="shared" si="44"/>
        <v>3968974.3953822749</v>
      </c>
      <c r="H751" s="544">
        <f t="shared" si="45"/>
        <v>3968974.3953822749</v>
      </c>
      <c r="I751" s="541">
        <f t="shared" si="46"/>
        <v>0</v>
      </c>
      <c r="J751" s="541"/>
      <c r="K751" s="561"/>
      <c r="L751" s="545"/>
      <c r="M751" s="561"/>
      <c r="N751" s="545"/>
      <c r="O751" s="545"/>
    </row>
    <row r="752" spans="3:15">
      <c r="C752" s="537">
        <f>IF(D720="","-",+C751+1)</f>
        <v>2042</v>
      </c>
      <c r="D752" s="495">
        <f t="shared" si="42"/>
        <v>19089890.783333316</v>
      </c>
      <c r="E752" s="538">
        <f t="shared" si="47"/>
        <v>1735444.6166666665</v>
      </c>
      <c r="F752" s="495">
        <f t="shared" si="43"/>
        <v>17354446.166666649</v>
      </c>
      <c r="G752" s="543">
        <f t="shared" si="44"/>
        <v>3774754.4146243958</v>
      </c>
      <c r="H752" s="544">
        <f t="shared" si="45"/>
        <v>3774754.4146243958</v>
      </c>
      <c r="I752" s="541">
        <f t="shared" si="46"/>
        <v>0</v>
      </c>
      <c r="J752" s="541"/>
      <c r="K752" s="561"/>
      <c r="L752" s="545"/>
      <c r="M752" s="561"/>
      <c r="N752" s="545"/>
      <c r="O752" s="545"/>
    </row>
    <row r="753" spans="3:15">
      <c r="C753" s="537">
        <f>IF(D720="","-",+C752+1)</f>
        <v>2043</v>
      </c>
      <c r="D753" s="495">
        <f t="shared" si="42"/>
        <v>17354446.166666649</v>
      </c>
      <c r="E753" s="538">
        <f t="shared" si="47"/>
        <v>1735444.6166666665</v>
      </c>
      <c r="F753" s="495">
        <f t="shared" si="43"/>
        <v>15619001.549999982</v>
      </c>
      <c r="G753" s="543">
        <f t="shared" si="44"/>
        <v>3580534.4338665167</v>
      </c>
      <c r="H753" s="544">
        <f t="shared" si="45"/>
        <v>3580534.4338665167</v>
      </c>
      <c r="I753" s="541">
        <f t="shared" si="46"/>
        <v>0</v>
      </c>
      <c r="J753" s="541"/>
      <c r="K753" s="561"/>
      <c r="L753" s="545"/>
      <c r="M753" s="561"/>
      <c r="N753" s="545"/>
      <c r="O753" s="545"/>
    </row>
    <row r="754" spans="3:15">
      <c r="C754" s="537">
        <f>IF(D720="","-",+C753+1)</f>
        <v>2044</v>
      </c>
      <c r="D754" s="495">
        <f t="shared" si="42"/>
        <v>15619001.549999982</v>
      </c>
      <c r="E754" s="538">
        <f t="shared" si="47"/>
        <v>1735444.6166666665</v>
      </c>
      <c r="F754" s="495">
        <f t="shared" si="43"/>
        <v>13883556.933333315</v>
      </c>
      <c r="G754" s="539">
        <f t="shared" si="44"/>
        <v>3386314.4531086376</v>
      </c>
      <c r="H754" s="544">
        <f t="shared" si="45"/>
        <v>3386314.4531086376</v>
      </c>
      <c r="I754" s="541">
        <f t="shared" si="46"/>
        <v>0</v>
      </c>
      <c r="J754" s="541"/>
      <c r="K754" s="561"/>
      <c r="L754" s="545"/>
      <c r="M754" s="561"/>
      <c r="N754" s="545"/>
      <c r="O754" s="545"/>
    </row>
    <row r="755" spans="3:15">
      <c r="C755" s="537">
        <f>IF(D720="","-",+C754+1)</f>
        <v>2045</v>
      </c>
      <c r="D755" s="495">
        <f t="shared" si="42"/>
        <v>13883556.933333315</v>
      </c>
      <c r="E755" s="538">
        <f t="shared" si="47"/>
        <v>1735444.6166666665</v>
      </c>
      <c r="F755" s="495">
        <f t="shared" si="43"/>
        <v>12148112.316666648</v>
      </c>
      <c r="G755" s="543">
        <f t="shared" si="44"/>
        <v>3192094.472350758</v>
      </c>
      <c r="H755" s="544">
        <f t="shared" si="45"/>
        <v>3192094.472350758</v>
      </c>
      <c r="I755" s="541">
        <f t="shared" si="46"/>
        <v>0</v>
      </c>
      <c r="J755" s="541"/>
      <c r="K755" s="561"/>
      <c r="L755" s="545"/>
      <c r="M755" s="561"/>
      <c r="N755" s="545"/>
      <c r="O755" s="545"/>
    </row>
    <row r="756" spans="3:15">
      <c r="C756" s="537">
        <f>IF(D720="","-",+C755+1)</f>
        <v>2046</v>
      </c>
      <c r="D756" s="495">
        <f t="shared" si="42"/>
        <v>12148112.316666648</v>
      </c>
      <c r="E756" s="538">
        <f t="shared" si="47"/>
        <v>1735444.6166666665</v>
      </c>
      <c r="F756" s="495">
        <f t="shared" si="43"/>
        <v>10412667.699999981</v>
      </c>
      <c r="G756" s="543">
        <f t="shared" si="44"/>
        <v>2997874.4915928789</v>
      </c>
      <c r="H756" s="544">
        <f t="shared" si="45"/>
        <v>2997874.4915928789</v>
      </c>
      <c r="I756" s="541">
        <f t="shared" si="46"/>
        <v>0</v>
      </c>
      <c r="J756" s="541"/>
      <c r="K756" s="561"/>
      <c r="L756" s="545"/>
      <c r="M756" s="561"/>
      <c r="N756" s="545"/>
      <c r="O756" s="545"/>
    </row>
    <row r="757" spans="3:15">
      <c r="C757" s="537">
        <f>IF(D720="","-",+C756+1)</f>
        <v>2047</v>
      </c>
      <c r="D757" s="495">
        <f t="shared" si="42"/>
        <v>10412667.699999981</v>
      </c>
      <c r="E757" s="538">
        <f t="shared" si="47"/>
        <v>1735444.6166666665</v>
      </c>
      <c r="F757" s="495">
        <f t="shared" si="43"/>
        <v>8677223.0833333135</v>
      </c>
      <c r="G757" s="543">
        <f t="shared" si="44"/>
        <v>2803654.5108349994</v>
      </c>
      <c r="H757" s="544">
        <f t="shared" si="45"/>
        <v>2803654.5108349994</v>
      </c>
      <c r="I757" s="541">
        <f t="shared" si="46"/>
        <v>0</v>
      </c>
      <c r="J757" s="541"/>
      <c r="K757" s="561"/>
      <c r="L757" s="545"/>
      <c r="M757" s="561"/>
      <c r="N757" s="545"/>
      <c r="O757" s="545"/>
    </row>
    <row r="758" spans="3:15">
      <c r="C758" s="537">
        <f>IF(D720="","-",+C757+1)</f>
        <v>2048</v>
      </c>
      <c r="D758" s="495">
        <f t="shared" si="42"/>
        <v>8677223.0833333135</v>
      </c>
      <c r="E758" s="538">
        <f t="shared" si="47"/>
        <v>1735444.6166666665</v>
      </c>
      <c r="F758" s="495">
        <f t="shared" si="43"/>
        <v>6941778.4666666472</v>
      </c>
      <c r="G758" s="543">
        <f t="shared" si="44"/>
        <v>2609434.5300771203</v>
      </c>
      <c r="H758" s="544">
        <f t="shared" si="45"/>
        <v>2609434.5300771203</v>
      </c>
      <c r="I758" s="541">
        <f t="shared" si="46"/>
        <v>0</v>
      </c>
      <c r="J758" s="541"/>
      <c r="K758" s="561"/>
      <c r="L758" s="545"/>
      <c r="M758" s="561"/>
      <c r="N758" s="545"/>
      <c r="O758" s="545"/>
    </row>
    <row r="759" spans="3:15">
      <c r="C759" s="537">
        <f>IF(D720="","-",+C758+1)</f>
        <v>2049</v>
      </c>
      <c r="D759" s="495">
        <f t="shared" si="42"/>
        <v>6941778.4666666472</v>
      </c>
      <c r="E759" s="538">
        <f t="shared" si="47"/>
        <v>1735444.6166666665</v>
      </c>
      <c r="F759" s="495">
        <f t="shared" si="43"/>
        <v>5206333.849999981</v>
      </c>
      <c r="G759" s="543">
        <f t="shared" si="44"/>
        <v>2415214.5493192412</v>
      </c>
      <c r="H759" s="544">
        <f t="shared" si="45"/>
        <v>2415214.5493192412</v>
      </c>
      <c r="I759" s="541">
        <f t="shared" si="46"/>
        <v>0</v>
      </c>
      <c r="J759" s="541"/>
      <c r="K759" s="561"/>
      <c r="L759" s="545"/>
      <c r="M759" s="561"/>
      <c r="N759" s="545"/>
      <c r="O759" s="545"/>
    </row>
    <row r="760" spans="3:15">
      <c r="C760" s="537">
        <f>IF(D720="","-",+C759+1)</f>
        <v>2050</v>
      </c>
      <c r="D760" s="495">
        <f t="shared" si="42"/>
        <v>5206333.849999981</v>
      </c>
      <c r="E760" s="538">
        <f t="shared" si="47"/>
        <v>1735444.6166666665</v>
      </c>
      <c r="F760" s="495">
        <f t="shared" si="43"/>
        <v>3470889.2333333148</v>
      </c>
      <c r="G760" s="543">
        <f t="shared" si="44"/>
        <v>2220994.5685613621</v>
      </c>
      <c r="H760" s="544">
        <f t="shared" si="45"/>
        <v>2220994.5685613621</v>
      </c>
      <c r="I760" s="541">
        <f t="shared" si="46"/>
        <v>0</v>
      </c>
      <c r="J760" s="541"/>
      <c r="K760" s="561"/>
      <c r="L760" s="545"/>
      <c r="M760" s="561"/>
      <c r="N760" s="545"/>
      <c r="O760" s="545"/>
    </row>
    <row r="761" spans="3:15">
      <c r="C761" s="537">
        <f>IF(D720="","-",+C760+1)</f>
        <v>2051</v>
      </c>
      <c r="D761" s="495">
        <f t="shared" si="42"/>
        <v>3470889.2333333148</v>
      </c>
      <c r="E761" s="538">
        <f t="shared" si="47"/>
        <v>1735444.6166666665</v>
      </c>
      <c r="F761" s="495">
        <f t="shared" si="43"/>
        <v>1735444.6166666483</v>
      </c>
      <c r="G761" s="543">
        <f t="shared" si="44"/>
        <v>2026774.5878034832</v>
      </c>
      <c r="H761" s="544">
        <f t="shared" si="45"/>
        <v>2026774.5878034832</v>
      </c>
      <c r="I761" s="541">
        <f t="shared" si="46"/>
        <v>0</v>
      </c>
      <c r="J761" s="541"/>
      <c r="K761" s="561"/>
      <c r="L761" s="545"/>
      <c r="M761" s="561"/>
      <c r="N761" s="545"/>
      <c r="O761" s="545"/>
    </row>
    <row r="762" spans="3:15">
      <c r="C762" s="537">
        <f>IF(D720="","-",+C761+1)</f>
        <v>2052</v>
      </c>
      <c r="D762" s="495">
        <f t="shared" si="42"/>
        <v>1735444.6166666483</v>
      </c>
      <c r="E762" s="538">
        <f t="shared" si="47"/>
        <v>1735444.6166666483</v>
      </c>
      <c r="F762" s="495">
        <f t="shared" si="43"/>
        <v>0</v>
      </c>
      <c r="G762" s="543">
        <f t="shared" si="44"/>
        <v>1832554.6070455869</v>
      </c>
      <c r="H762" s="544">
        <f t="shared" si="45"/>
        <v>1832554.6070455869</v>
      </c>
      <c r="I762" s="541">
        <f t="shared" si="46"/>
        <v>0</v>
      </c>
      <c r="J762" s="541"/>
      <c r="K762" s="561"/>
      <c r="L762" s="545"/>
      <c r="M762" s="561"/>
      <c r="N762" s="545"/>
      <c r="O762" s="545"/>
    </row>
    <row r="763" spans="3:15">
      <c r="C763" s="537">
        <f>IF(D720="","-",+C762+1)</f>
        <v>2053</v>
      </c>
      <c r="D763" s="495">
        <f t="shared" si="42"/>
        <v>0</v>
      </c>
      <c r="E763" s="538">
        <f t="shared" si="47"/>
        <v>0</v>
      </c>
      <c r="F763" s="495">
        <f t="shared" si="43"/>
        <v>0</v>
      </c>
      <c r="G763" s="543">
        <f t="shared" si="44"/>
        <v>0</v>
      </c>
      <c r="H763" s="544">
        <f t="shared" si="45"/>
        <v>0</v>
      </c>
      <c r="I763" s="541">
        <f t="shared" si="46"/>
        <v>0</v>
      </c>
      <c r="J763" s="541"/>
      <c r="K763" s="561"/>
      <c r="L763" s="545"/>
      <c r="M763" s="561"/>
      <c r="N763" s="545"/>
      <c r="O763" s="545"/>
    </row>
    <row r="764" spans="3:15">
      <c r="C764" s="537">
        <f>IF(D720="","-",+C763+1)</f>
        <v>2054</v>
      </c>
      <c r="D764" s="495">
        <f t="shared" si="42"/>
        <v>0</v>
      </c>
      <c r="E764" s="538">
        <f t="shared" si="47"/>
        <v>0</v>
      </c>
      <c r="F764" s="495">
        <f t="shared" si="43"/>
        <v>0</v>
      </c>
      <c r="G764" s="543">
        <f t="shared" si="44"/>
        <v>0</v>
      </c>
      <c r="H764" s="544">
        <f t="shared" si="45"/>
        <v>0</v>
      </c>
      <c r="I764" s="541">
        <f t="shared" si="46"/>
        <v>0</v>
      </c>
      <c r="J764" s="541"/>
      <c r="K764" s="561"/>
      <c r="L764" s="545"/>
      <c r="M764" s="561"/>
      <c r="N764" s="545"/>
      <c r="O764" s="545"/>
    </row>
    <row r="765" spans="3:15">
      <c r="C765" s="537">
        <f>IF(D720="","-",+C764+1)</f>
        <v>2055</v>
      </c>
      <c r="D765" s="495">
        <f t="shared" si="42"/>
        <v>0</v>
      </c>
      <c r="E765" s="538">
        <f t="shared" si="47"/>
        <v>0</v>
      </c>
      <c r="F765" s="495">
        <f t="shared" si="43"/>
        <v>0</v>
      </c>
      <c r="G765" s="543">
        <f t="shared" si="44"/>
        <v>0</v>
      </c>
      <c r="H765" s="544">
        <f t="shared" si="45"/>
        <v>0</v>
      </c>
      <c r="I765" s="541">
        <f t="shared" si="46"/>
        <v>0</v>
      </c>
      <c r="J765" s="541"/>
      <c r="K765" s="561"/>
      <c r="L765" s="545"/>
      <c r="M765" s="561"/>
      <c r="N765" s="545"/>
      <c r="O765" s="545"/>
    </row>
    <row r="766" spans="3:15">
      <c r="C766" s="537">
        <f>IF(D720="","-",+C765+1)</f>
        <v>2056</v>
      </c>
      <c r="D766" s="495">
        <f t="shared" si="42"/>
        <v>0</v>
      </c>
      <c r="E766" s="538">
        <f t="shared" si="47"/>
        <v>0</v>
      </c>
      <c r="F766" s="495">
        <f t="shared" si="43"/>
        <v>0</v>
      </c>
      <c r="G766" s="543">
        <f t="shared" si="44"/>
        <v>0</v>
      </c>
      <c r="H766" s="544">
        <f t="shared" si="45"/>
        <v>0</v>
      </c>
      <c r="I766" s="541">
        <f t="shared" si="46"/>
        <v>0</v>
      </c>
      <c r="J766" s="541"/>
      <c r="K766" s="561"/>
      <c r="L766" s="545"/>
      <c r="M766" s="561"/>
      <c r="N766" s="545"/>
      <c r="O766" s="545"/>
    </row>
    <row r="767" spans="3:15">
      <c r="C767" s="537">
        <f>IF(D720="","-",+C766+1)</f>
        <v>2057</v>
      </c>
      <c r="D767" s="495">
        <f t="shared" si="42"/>
        <v>0</v>
      </c>
      <c r="E767" s="538">
        <f t="shared" si="47"/>
        <v>0</v>
      </c>
      <c r="F767" s="495">
        <f t="shared" si="43"/>
        <v>0</v>
      </c>
      <c r="G767" s="543">
        <f t="shared" si="44"/>
        <v>0</v>
      </c>
      <c r="H767" s="544">
        <f t="shared" si="45"/>
        <v>0</v>
      </c>
      <c r="I767" s="541">
        <f t="shared" si="46"/>
        <v>0</v>
      </c>
      <c r="J767" s="541"/>
      <c r="K767" s="561"/>
      <c r="L767" s="545"/>
      <c r="M767" s="561"/>
      <c r="N767" s="545"/>
      <c r="O767" s="545"/>
    </row>
    <row r="768" spans="3:15">
      <c r="C768" s="537">
        <f>IF(D720="","-",+C767+1)</f>
        <v>2058</v>
      </c>
      <c r="D768" s="495">
        <f t="shared" si="42"/>
        <v>0</v>
      </c>
      <c r="E768" s="538">
        <f t="shared" si="47"/>
        <v>0</v>
      </c>
      <c r="F768" s="495">
        <f t="shared" si="43"/>
        <v>0</v>
      </c>
      <c r="G768" s="543">
        <f t="shared" si="44"/>
        <v>0</v>
      </c>
      <c r="H768" s="544">
        <f t="shared" si="45"/>
        <v>0</v>
      </c>
      <c r="I768" s="541">
        <f t="shared" si="46"/>
        <v>0</v>
      </c>
      <c r="J768" s="541"/>
      <c r="K768" s="561"/>
      <c r="L768" s="545"/>
      <c r="M768" s="561"/>
      <c r="N768" s="545"/>
      <c r="O768" s="545"/>
    </row>
    <row r="769" spans="3:15">
      <c r="C769" s="537">
        <f>IF(D720="","-",+C768+1)</f>
        <v>2059</v>
      </c>
      <c r="D769" s="495">
        <f t="shared" si="42"/>
        <v>0</v>
      </c>
      <c r="E769" s="538">
        <f t="shared" si="47"/>
        <v>0</v>
      </c>
      <c r="F769" s="495">
        <f t="shared" si="43"/>
        <v>0</v>
      </c>
      <c r="G769" s="543">
        <f t="shared" si="44"/>
        <v>0</v>
      </c>
      <c r="H769" s="544">
        <f t="shared" si="45"/>
        <v>0</v>
      </c>
      <c r="I769" s="541">
        <f t="shared" si="46"/>
        <v>0</v>
      </c>
      <c r="J769" s="541"/>
      <c r="K769" s="561"/>
      <c r="L769" s="545"/>
      <c r="M769" s="561"/>
      <c r="N769" s="545"/>
      <c r="O769" s="545"/>
    </row>
    <row r="770" spans="3:15">
      <c r="C770" s="537">
        <f>IF(D720="","-",+C769+1)</f>
        <v>2060</v>
      </c>
      <c r="D770" s="495">
        <f t="shared" si="42"/>
        <v>0</v>
      </c>
      <c r="E770" s="538">
        <f t="shared" si="47"/>
        <v>0</v>
      </c>
      <c r="F770" s="495">
        <f t="shared" si="43"/>
        <v>0</v>
      </c>
      <c r="G770" s="543">
        <f t="shared" si="44"/>
        <v>0</v>
      </c>
      <c r="H770" s="544">
        <f t="shared" si="45"/>
        <v>0</v>
      </c>
      <c r="I770" s="541">
        <f t="shared" si="46"/>
        <v>0</v>
      </c>
      <c r="J770" s="541"/>
      <c r="K770" s="561"/>
      <c r="L770" s="545"/>
      <c r="M770" s="561"/>
      <c r="N770" s="545"/>
      <c r="O770" s="545"/>
    </row>
    <row r="771" spans="3:15">
      <c r="C771" s="537">
        <f>IF(D720="","-",+C770+1)</f>
        <v>2061</v>
      </c>
      <c r="D771" s="495">
        <f t="shared" si="42"/>
        <v>0</v>
      </c>
      <c r="E771" s="538">
        <f t="shared" si="47"/>
        <v>0</v>
      </c>
      <c r="F771" s="495">
        <f t="shared" si="43"/>
        <v>0</v>
      </c>
      <c r="G771" s="543">
        <f t="shared" si="44"/>
        <v>0</v>
      </c>
      <c r="H771" s="544">
        <f t="shared" si="45"/>
        <v>0</v>
      </c>
      <c r="I771" s="541">
        <f t="shared" si="46"/>
        <v>0</v>
      </c>
      <c r="J771" s="541"/>
      <c r="K771" s="561"/>
      <c r="L771" s="545"/>
      <c r="M771" s="561"/>
      <c r="N771" s="545"/>
      <c r="O771" s="545"/>
    </row>
    <row r="772" spans="3:15">
      <c r="C772" s="537">
        <f>IF(D720="","-",+C771+1)</f>
        <v>2062</v>
      </c>
      <c r="D772" s="495">
        <f t="shared" si="42"/>
        <v>0</v>
      </c>
      <c r="E772" s="538">
        <f t="shared" si="47"/>
        <v>0</v>
      </c>
      <c r="F772" s="495">
        <f t="shared" si="43"/>
        <v>0</v>
      </c>
      <c r="G772" s="543">
        <f t="shared" si="44"/>
        <v>0</v>
      </c>
      <c r="H772" s="544">
        <f t="shared" si="45"/>
        <v>0</v>
      </c>
      <c r="I772" s="541">
        <f t="shared" si="46"/>
        <v>0</v>
      </c>
      <c r="J772" s="541"/>
      <c r="K772" s="561"/>
      <c r="L772" s="545"/>
      <c r="M772" s="561"/>
      <c r="N772" s="545"/>
      <c r="O772" s="545"/>
    </row>
    <row r="773" spans="3:15">
      <c r="C773" s="537">
        <f>IF(D720="","-",+C772+1)</f>
        <v>2063</v>
      </c>
      <c r="D773" s="495">
        <f t="shared" si="42"/>
        <v>0</v>
      </c>
      <c r="E773" s="538">
        <f t="shared" si="47"/>
        <v>0</v>
      </c>
      <c r="F773" s="495">
        <f t="shared" si="43"/>
        <v>0</v>
      </c>
      <c r="G773" s="543">
        <f t="shared" si="44"/>
        <v>0</v>
      </c>
      <c r="H773" s="544">
        <f t="shared" si="45"/>
        <v>0</v>
      </c>
      <c r="I773" s="541">
        <f t="shared" si="46"/>
        <v>0</v>
      </c>
      <c r="J773" s="541"/>
      <c r="K773" s="561"/>
      <c r="L773" s="545"/>
      <c r="M773" s="561"/>
      <c r="N773" s="545"/>
      <c r="O773" s="545"/>
    </row>
    <row r="774" spans="3:15">
      <c r="C774" s="537">
        <f>IF(D720="","-",+C773+1)</f>
        <v>2064</v>
      </c>
      <c r="D774" s="495">
        <f t="shared" si="42"/>
        <v>0</v>
      </c>
      <c r="E774" s="538">
        <f t="shared" si="47"/>
        <v>0</v>
      </c>
      <c r="F774" s="495">
        <f t="shared" si="43"/>
        <v>0</v>
      </c>
      <c r="G774" s="543">
        <f t="shared" si="44"/>
        <v>0</v>
      </c>
      <c r="H774" s="544">
        <f t="shared" si="45"/>
        <v>0</v>
      </c>
      <c r="I774" s="541">
        <f t="shared" si="46"/>
        <v>0</v>
      </c>
      <c r="J774" s="541"/>
      <c r="K774" s="561"/>
      <c r="L774" s="545"/>
      <c r="M774" s="561"/>
      <c r="N774" s="545"/>
      <c r="O774" s="545"/>
    </row>
    <row r="775" spans="3:15">
      <c r="C775" s="537">
        <f>IF(D720="","-",+C774+1)</f>
        <v>2065</v>
      </c>
      <c r="D775" s="495">
        <f t="shared" si="42"/>
        <v>0</v>
      </c>
      <c r="E775" s="538">
        <f t="shared" si="47"/>
        <v>0</v>
      </c>
      <c r="F775" s="495">
        <f t="shared" si="43"/>
        <v>0</v>
      </c>
      <c r="G775" s="543">
        <f t="shared" si="44"/>
        <v>0</v>
      </c>
      <c r="H775" s="544">
        <f t="shared" si="45"/>
        <v>0</v>
      </c>
      <c r="I775" s="541">
        <f t="shared" si="46"/>
        <v>0</v>
      </c>
      <c r="J775" s="541"/>
      <c r="K775" s="561"/>
      <c r="L775" s="545"/>
      <c r="M775" s="561"/>
      <c r="N775" s="545"/>
      <c r="O775" s="545"/>
    </row>
    <row r="776" spans="3:15">
      <c r="C776" s="537">
        <f>IF(D720="","-",+C775+1)</f>
        <v>2066</v>
      </c>
      <c r="D776" s="495">
        <f t="shared" si="42"/>
        <v>0</v>
      </c>
      <c r="E776" s="538">
        <f t="shared" si="47"/>
        <v>0</v>
      </c>
      <c r="F776" s="495">
        <f t="shared" si="43"/>
        <v>0</v>
      </c>
      <c r="G776" s="543">
        <f t="shared" si="44"/>
        <v>0</v>
      </c>
      <c r="H776" s="544">
        <f t="shared" si="45"/>
        <v>0</v>
      </c>
      <c r="I776" s="541">
        <f t="shared" si="46"/>
        <v>0</v>
      </c>
      <c r="J776" s="541"/>
      <c r="K776" s="561"/>
      <c r="L776" s="545"/>
      <c r="M776" s="561"/>
      <c r="N776" s="545"/>
      <c r="O776" s="545"/>
    </row>
    <row r="777" spans="3:15">
      <c r="C777" s="537">
        <f>IF(D720="","-",+C776+1)</f>
        <v>2067</v>
      </c>
      <c r="D777" s="495">
        <f t="shared" si="42"/>
        <v>0</v>
      </c>
      <c r="E777" s="538">
        <f t="shared" si="47"/>
        <v>0</v>
      </c>
      <c r="F777" s="495">
        <f t="shared" si="43"/>
        <v>0</v>
      </c>
      <c r="G777" s="543">
        <f t="shared" si="44"/>
        <v>0</v>
      </c>
      <c r="H777" s="544">
        <f t="shared" si="45"/>
        <v>0</v>
      </c>
      <c r="I777" s="541">
        <f t="shared" si="46"/>
        <v>0</v>
      </c>
      <c r="J777" s="541"/>
      <c r="K777" s="561"/>
      <c r="L777" s="545"/>
      <c r="M777" s="561"/>
      <c r="N777" s="545"/>
      <c r="O777" s="545"/>
    </row>
    <row r="778" spans="3:15">
      <c r="C778" s="537">
        <f>IF(D720="","-",+C777+1)</f>
        <v>2068</v>
      </c>
      <c r="D778" s="495">
        <f t="shared" si="42"/>
        <v>0</v>
      </c>
      <c r="E778" s="538">
        <f t="shared" si="47"/>
        <v>0</v>
      </c>
      <c r="F778" s="495">
        <f t="shared" si="43"/>
        <v>0</v>
      </c>
      <c r="G778" s="543">
        <f t="shared" si="44"/>
        <v>0</v>
      </c>
      <c r="H778" s="544">
        <f t="shared" si="45"/>
        <v>0</v>
      </c>
      <c r="I778" s="541">
        <f t="shared" si="46"/>
        <v>0</v>
      </c>
      <c r="J778" s="541"/>
      <c r="K778" s="561"/>
      <c r="L778" s="545"/>
      <c r="M778" s="561"/>
      <c r="N778" s="545"/>
      <c r="O778" s="545"/>
    </row>
    <row r="779" spans="3:15">
      <c r="C779" s="537">
        <f>IF(D720="","-",+C778+1)</f>
        <v>2069</v>
      </c>
      <c r="D779" s="495">
        <f t="shared" si="42"/>
        <v>0</v>
      </c>
      <c r="E779" s="538">
        <f t="shared" si="47"/>
        <v>0</v>
      </c>
      <c r="F779" s="495">
        <f t="shared" si="43"/>
        <v>0</v>
      </c>
      <c r="G779" s="543">
        <f t="shared" si="44"/>
        <v>0</v>
      </c>
      <c r="H779" s="544">
        <f t="shared" si="45"/>
        <v>0</v>
      </c>
      <c r="I779" s="541">
        <f t="shared" si="46"/>
        <v>0</v>
      </c>
      <c r="J779" s="541"/>
      <c r="K779" s="561"/>
      <c r="L779" s="545"/>
      <c r="M779" s="561"/>
      <c r="N779" s="545"/>
      <c r="O779" s="545"/>
    </row>
    <row r="780" spans="3:15">
      <c r="C780" s="537">
        <f>IF(D720="","-",+C779+1)</f>
        <v>2070</v>
      </c>
      <c r="D780" s="495">
        <f t="shared" si="42"/>
        <v>0</v>
      </c>
      <c r="E780" s="538">
        <f t="shared" si="47"/>
        <v>0</v>
      </c>
      <c r="F780" s="495">
        <f t="shared" si="43"/>
        <v>0</v>
      </c>
      <c r="G780" s="543">
        <f t="shared" si="44"/>
        <v>0</v>
      </c>
      <c r="H780" s="544">
        <f t="shared" si="45"/>
        <v>0</v>
      </c>
      <c r="I780" s="541">
        <f t="shared" si="46"/>
        <v>0</v>
      </c>
      <c r="J780" s="541"/>
      <c r="K780" s="561"/>
      <c r="L780" s="545"/>
      <c r="M780" s="561"/>
      <c r="N780" s="545"/>
      <c r="O780" s="545"/>
    </row>
    <row r="781" spans="3:15">
      <c r="C781" s="537">
        <f>IF(D720="","-",+C780+1)</f>
        <v>2071</v>
      </c>
      <c r="D781" s="495">
        <f t="shared" si="42"/>
        <v>0</v>
      </c>
      <c r="E781" s="538">
        <f t="shared" si="47"/>
        <v>0</v>
      </c>
      <c r="F781" s="495">
        <f t="shared" si="43"/>
        <v>0</v>
      </c>
      <c r="G781" s="543">
        <f t="shared" si="44"/>
        <v>0</v>
      </c>
      <c r="H781" s="544">
        <f t="shared" si="45"/>
        <v>0</v>
      </c>
      <c r="I781" s="541">
        <f t="shared" si="46"/>
        <v>0</v>
      </c>
      <c r="J781" s="541"/>
      <c r="K781" s="561"/>
      <c r="L781" s="545"/>
      <c r="M781" s="561"/>
      <c r="N781" s="545"/>
      <c r="O781" s="545"/>
    </row>
    <row r="782" spans="3:15">
      <c r="C782" s="537">
        <f>IF(D720="","-",+C781+1)</f>
        <v>2072</v>
      </c>
      <c r="D782" s="495">
        <f t="shared" si="42"/>
        <v>0</v>
      </c>
      <c r="E782" s="538">
        <f t="shared" si="47"/>
        <v>0</v>
      </c>
      <c r="F782" s="495">
        <f t="shared" si="43"/>
        <v>0</v>
      </c>
      <c r="G782" s="543">
        <f t="shared" si="44"/>
        <v>0</v>
      </c>
      <c r="H782" s="544">
        <f t="shared" si="45"/>
        <v>0</v>
      </c>
      <c r="I782" s="541">
        <f t="shared" si="46"/>
        <v>0</v>
      </c>
      <c r="J782" s="541"/>
      <c r="K782" s="561"/>
      <c r="L782" s="545"/>
      <c r="M782" s="561"/>
      <c r="N782" s="545"/>
      <c r="O782" s="545"/>
    </row>
    <row r="783" spans="3:15">
      <c r="C783" s="537">
        <f>IF(D720="","-",+C782+1)</f>
        <v>2073</v>
      </c>
      <c r="D783" s="495">
        <f t="shared" si="42"/>
        <v>0</v>
      </c>
      <c r="E783" s="538">
        <f t="shared" si="47"/>
        <v>0</v>
      </c>
      <c r="F783" s="495">
        <f t="shared" si="43"/>
        <v>0</v>
      </c>
      <c r="G783" s="543">
        <f t="shared" si="44"/>
        <v>0</v>
      </c>
      <c r="H783" s="544">
        <f t="shared" si="45"/>
        <v>0</v>
      </c>
      <c r="I783" s="541">
        <f t="shared" si="46"/>
        <v>0</v>
      </c>
      <c r="J783" s="541"/>
      <c r="K783" s="561"/>
      <c r="L783" s="545"/>
      <c r="M783" s="561"/>
      <c r="N783" s="545"/>
      <c r="O783" s="545"/>
    </row>
    <row r="784" spans="3:15">
      <c r="C784" s="537">
        <f>IF(D720="","-",+C783+1)</f>
        <v>2074</v>
      </c>
      <c r="D784" s="495">
        <f t="shared" si="42"/>
        <v>0</v>
      </c>
      <c r="E784" s="538">
        <f t="shared" si="47"/>
        <v>0</v>
      </c>
      <c r="F784" s="495">
        <f t="shared" si="43"/>
        <v>0</v>
      </c>
      <c r="G784" s="543">
        <f t="shared" si="44"/>
        <v>0</v>
      </c>
      <c r="H784" s="544">
        <f t="shared" si="45"/>
        <v>0</v>
      </c>
      <c r="I784" s="541">
        <f t="shared" si="46"/>
        <v>0</v>
      </c>
      <c r="J784" s="541"/>
      <c r="K784" s="561"/>
      <c r="L784" s="545"/>
      <c r="M784" s="561"/>
      <c r="N784" s="545"/>
      <c r="O784" s="545"/>
    </row>
    <row r="785" spans="1:16" ht="13.5" thickBot="1">
      <c r="C785" s="547">
        <f>IF(D720="","-",+C784+1)</f>
        <v>2075</v>
      </c>
      <c r="D785" s="548">
        <f t="shared" si="42"/>
        <v>0</v>
      </c>
      <c r="E785" s="549">
        <f t="shared" si="47"/>
        <v>0</v>
      </c>
      <c r="F785" s="548">
        <f t="shared" si="43"/>
        <v>0</v>
      </c>
      <c r="G785" s="550">
        <f t="shared" si="44"/>
        <v>0</v>
      </c>
      <c r="H785" s="550">
        <f t="shared" si="45"/>
        <v>0</v>
      </c>
      <c r="I785" s="551">
        <f t="shared" si="46"/>
        <v>0</v>
      </c>
      <c r="J785" s="541"/>
      <c r="K785" s="562"/>
      <c r="L785" s="552"/>
      <c r="M785" s="562"/>
      <c r="N785" s="552"/>
      <c r="O785" s="552"/>
    </row>
    <row r="786" spans="1:16">
      <c r="C786" s="495" t="s">
        <v>91</v>
      </c>
      <c r="D786" s="492"/>
      <c r="E786" s="492">
        <f>SUM(E726:E785)</f>
        <v>62476006.199999988</v>
      </c>
      <c r="F786" s="492"/>
      <c r="G786" s="492">
        <f>SUM(G726:G785)</f>
        <v>195322473.0383893</v>
      </c>
      <c r="H786" s="492">
        <f>SUM(H726:H785)</f>
        <v>195322473.0383893</v>
      </c>
      <c r="I786" s="492">
        <f>SUM(I726:I785)</f>
        <v>0</v>
      </c>
      <c r="J786" s="492"/>
      <c r="K786" s="492"/>
      <c r="L786" s="492"/>
      <c r="M786" s="492"/>
      <c r="N786" s="492"/>
      <c r="O786" s="3"/>
    </row>
    <row r="787" spans="1:16">
      <c r="D787" s="47"/>
      <c r="E787" s="3"/>
      <c r="F787" s="3"/>
      <c r="G787" s="3"/>
      <c r="H787" s="479"/>
      <c r="I787" s="479"/>
      <c r="J787" s="492"/>
      <c r="K787" s="479"/>
      <c r="L787" s="479"/>
      <c r="M787" s="479"/>
      <c r="N787" s="479"/>
      <c r="O787" s="3"/>
    </row>
    <row r="788" spans="1:16">
      <c r="C788" s="3" t="s">
        <v>13</v>
      </c>
      <c r="D788" s="47"/>
      <c r="E788" s="3"/>
      <c r="F788" s="3"/>
      <c r="G788" s="3"/>
      <c r="H788" s="479"/>
      <c r="I788" s="479"/>
      <c r="J788" s="492"/>
      <c r="K788" s="479"/>
      <c r="L788" s="479"/>
      <c r="M788" s="479"/>
      <c r="N788" s="479"/>
      <c r="O788" s="3"/>
    </row>
    <row r="789" spans="1:16">
      <c r="C789" s="3"/>
      <c r="D789" s="47"/>
      <c r="E789" s="3"/>
      <c r="F789" s="3"/>
      <c r="G789" s="3"/>
      <c r="H789" s="479"/>
      <c r="I789" s="479"/>
      <c r="J789" s="492"/>
      <c r="K789" s="479"/>
      <c r="L789" s="479"/>
      <c r="M789" s="479"/>
      <c r="N789" s="479"/>
      <c r="O789" s="3"/>
    </row>
    <row r="790" spans="1:16">
      <c r="C790" s="507" t="s">
        <v>14</v>
      </c>
      <c r="D790" s="495"/>
      <c r="E790" s="495"/>
      <c r="F790" s="495"/>
      <c r="G790" s="492"/>
      <c r="H790" s="492"/>
      <c r="I790" s="553"/>
      <c r="J790" s="553"/>
      <c r="K790" s="553"/>
      <c r="L790" s="553"/>
      <c r="M790" s="553"/>
      <c r="N790" s="553"/>
      <c r="O790" s="3"/>
    </row>
    <row r="791" spans="1:16">
      <c r="C791" s="496" t="s">
        <v>271</v>
      </c>
      <c r="D791" s="495"/>
      <c r="E791" s="495"/>
      <c r="F791" s="495"/>
      <c r="G791" s="492"/>
      <c r="H791" s="492"/>
      <c r="I791" s="553"/>
      <c r="J791" s="553"/>
      <c r="K791" s="553"/>
      <c r="L791" s="553"/>
      <c r="M791" s="553"/>
      <c r="N791" s="553"/>
      <c r="O791" s="3"/>
    </row>
    <row r="792" spans="1:16">
      <c r="C792" s="496" t="s">
        <v>92</v>
      </c>
      <c r="D792" s="495"/>
      <c r="E792" s="495"/>
      <c r="F792" s="495"/>
      <c r="G792" s="492"/>
      <c r="H792" s="492"/>
      <c r="I792" s="553"/>
      <c r="J792" s="553"/>
      <c r="K792" s="553"/>
      <c r="L792" s="553"/>
      <c r="M792" s="553"/>
      <c r="N792" s="553"/>
      <c r="O792" s="3"/>
    </row>
    <row r="793" spans="1:16">
      <c r="C793" s="496"/>
      <c r="D793" s="495"/>
      <c r="E793" s="495"/>
      <c r="F793" s="495"/>
      <c r="G793" s="492"/>
      <c r="H793" s="492"/>
      <c r="I793" s="553"/>
      <c r="J793" s="553"/>
      <c r="K793" s="553"/>
      <c r="L793" s="553"/>
      <c r="M793" s="553"/>
      <c r="N793" s="553"/>
      <c r="O793" s="3"/>
    </row>
    <row r="794" spans="1:16">
      <c r="C794" s="1185" t="s">
        <v>6</v>
      </c>
      <c r="D794" s="1185"/>
      <c r="E794" s="1185"/>
      <c r="F794" s="1185"/>
      <c r="G794" s="1185"/>
      <c r="H794" s="1185"/>
      <c r="I794" s="1185"/>
      <c r="J794" s="1185"/>
      <c r="K794" s="1185"/>
      <c r="L794" s="1185"/>
      <c r="M794" s="1185"/>
      <c r="N794" s="1185"/>
      <c r="O794" s="1185"/>
    </row>
    <row r="795" spans="1:16">
      <c r="C795" s="1185"/>
      <c r="D795" s="1185"/>
      <c r="E795" s="1185"/>
      <c r="F795" s="1185"/>
      <c r="G795" s="1185"/>
      <c r="H795" s="1185"/>
      <c r="I795" s="1185"/>
      <c r="J795" s="1185"/>
      <c r="K795" s="1185"/>
      <c r="L795" s="1185"/>
      <c r="M795" s="1185"/>
      <c r="N795" s="1185"/>
      <c r="O795" s="1185"/>
    </row>
    <row r="796" spans="1:16" ht="20.25">
      <c r="A796" s="436" t="str">
        <f>""&amp;A720&amp;" Worksheet J -  ATRR PROJECTED Calculation for PJM Projects Charged to Benefiting Zones"</f>
        <v xml:space="preserve"> Worksheet J -  ATRR PROJECTED Calculation for PJM Projects Charged to Benefiting Zones</v>
      </c>
      <c r="B796" s="3"/>
      <c r="C796" s="3"/>
      <c r="D796" s="47"/>
      <c r="E796" s="3"/>
      <c r="F796" s="478"/>
      <c r="G796" s="3"/>
      <c r="H796" s="479"/>
      <c r="K796" s="387"/>
      <c r="L796" s="387"/>
      <c r="M796" s="387"/>
      <c r="N796" s="387" t="str">
        <f>"Page "&amp;SUM(P$8:P796)&amp;" of "</f>
        <v xml:space="preserve">Page 10 of </v>
      </c>
      <c r="O796" s="437">
        <f>COUNT(P$8:P$56562)</f>
        <v>12</v>
      </c>
      <c r="P796">
        <v>1</v>
      </c>
    </row>
    <row r="797" spans="1:16" ht="20.25">
      <c r="A797" s="436"/>
      <c r="B797" s="3"/>
      <c r="C797" s="3"/>
      <c r="D797" s="47"/>
      <c r="E797" s="3"/>
      <c r="F797" s="478"/>
      <c r="G797" s="3"/>
      <c r="H797" s="479"/>
      <c r="K797" s="387"/>
      <c r="L797" s="387"/>
      <c r="M797" s="387"/>
      <c r="N797" s="387"/>
      <c r="O797" s="437"/>
    </row>
    <row r="798" spans="1:16" ht="18">
      <c r="B798" s="438" t="s">
        <v>472</v>
      </c>
      <c r="C798" s="119" t="s">
        <v>93</v>
      </c>
      <c r="D798" s="47"/>
      <c r="E798" s="3"/>
      <c r="F798" s="3"/>
      <c r="G798" s="3"/>
      <c r="H798" s="479"/>
      <c r="I798" s="479"/>
      <c r="J798" s="492"/>
      <c r="K798" s="479"/>
      <c r="L798" s="479"/>
      <c r="M798" s="479"/>
      <c r="N798" s="479"/>
      <c r="O798" s="3"/>
    </row>
    <row r="799" spans="1:16" ht="18.75">
      <c r="B799" s="438"/>
      <c r="C799" s="6"/>
      <c r="D799" s="47"/>
      <c r="E799" s="3"/>
      <c r="F799" s="3"/>
      <c r="G799" s="3"/>
      <c r="H799" s="479"/>
      <c r="I799" s="479"/>
      <c r="J799" s="492"/>
      <c r="K799" s="479"/>
      <c r="L799" s="479"/>
      <c r="M799" s="479"/>
      <c r="N799" s="479"/>
      <c r="O799" s="3"/>
    </row>
    <row r="800" spans="1:16" ht="18.75">
      <c r="B800" s="438"/>
      <c r="C800" s="6" t="s">
        <v>94</v>
      </c>
      <c r="D800" s="47"/>
      <c r="E800" s="3"/>
      <c r="F800" s="3"/>
      <c r="G800" s="3"/>
      <c r="H800" s="479"/>
      <c r="I800" s="479"/>
      <c r="J800" s="492"/>
      <c r="K800" s="479"/>
      <c r="L800" s="479"/>
      <c r="M800" s="479"/>
      <c r="N800" s="479"/>
      <c r="O800" s="3"/>
    </row>
    <row r="801" spans="2:15" ht="15.75" thickBot="1">
      <c r="C801" s="128"/>
      <c r="D801" s="47"/>
      <c r="E801" s="3"/>
      <c r="F801" s="3"/>
      <c r="G801" s="3"/>
      <c r="H801" s="479"/>
      <c r="I801" s="479"/>
      <c r="J801" s="492"/>
      <c r="K801" s="479"/>
      <c r="L801" s="479"/>
      <c r="M801" s="479"/>
      <c r="N801" s="479"/>
      <c r="O801" s="3"/>
    </row>
    <row r="802" spans="2:15" ht="15.75">
      <c r="C802" s="440" t="s">
        <v>95</v>
      </c>
      <c r="D802" s="47"/>
      <c r="E802" s="3"/>
      <c r="F802" s="3"/>
      <c r="G802" s="555"/>
      <c r="H802" s="3" t="s">
        <v>74</v>
      </c>
      <c r="I802" s="3"/>
      <c r="J802" s="3"/>
      <c r="K802" s="498" t="s">
        <v>99</v>
      </c>
      <c r="L802" s="499"/>
      <c r="M802" s="500"/>
      <c r="N802" s="501">
        <f>IF(I808=0,0,VLOOKUP(I808,C815:O874,5))</f>
        <v>3634299.259902291</v>
      </c>
      <c r="O802" s="3"/>
    </row>
    <row r="803" spans="2:15" ht="15.75">
      <c r="C803" s="440"/>
      <c r="D803" s="47"/>
      <c r="E803" s="3"/>
      <c r="F803" s="3"/>
      <c r="G803" s="3"/>
      <c r="H803" s="502"/>
      <c r="I803" s="502"/>
      <c r="J803" s="503"/>
      <c r="K803" s="504" t="s">
        <v>100</v>
      </c>
      <c r="L803" s="505"/>
      <c r="M803" s="3"/>
      <c r="N803" s="506">
        <f>IF(I808=0,0,VLOOKUP(I808,C815:O874,6))</f>
        <v>3634299.259902291</v>
      </c>
      <c r="O803" s="3"/>
    </row>
    <row r="804" spans="2:15" ht="13.5" thickBot="1">
      <c r="C804" s="507" t="s">
        <v>96</v>
      </c>
      <c r="D804" s="1196" t="s">
        <v>821</v>
      </c>
      <c r="E804" s="1196"/>
      <c r="F804" s="1196"/>
      <c r="G804" s="1196"/>
      <c r="H804" s="1196"/>
      <c r="I804" s="1196"/>
      <c r="J804" s="492"/>
      <c r="K804" s="508" t="s">
        <v>238</v>
      </c>
      <c r="L804" s="509"/>
      <c r="M804" s="509"/>
      <c r="N804" s="510">
        <f>+N803-N802</f>
        <v>0</v>
      </c>
      <c r="O804" s="3"/>
    </row>
    <row r="805" spans="2:15">
      <c r="C805" s="511"/>
      <c r="D805" s="1196"/>
      <c r="E805" s="1196"/>
      <c r="F805" s="1196"/>
      <c r="G805" s="1196"/>
      <c r="H805" s="1196"/>
      <c r="I805" s="1196"/>
      <c r="J805" s="492"/>
      <c r="K805" s="479"/>
      <c r="L805" s="479"/>
      <c r="M805" s="479"/>
      <c r="N805" s="479"/>
      <c r="O805" s="3"/>
    </row>
    <row r="806" spans="2:15" ht="13.5" thickBot="1">
      <c r="C806" s="511"/>
      <c r="D806" s="3"/>
      <c r="E806" s="513"/>
      <c r="F806" s="513"/>
      <c r="G806" s="513"/>
      <c r="H806" s="513"/>
      <c r="I806" s="513"/>
      <c r="J806" s="513"/>
      <c r="K806" s="513"/>
      <c r="L806" s="513"/>
      <c r="M806" s="513"/>
      <c r="N806" s="513"/>
      <c r="O806" s="3"/>
    </row>
    <row r="807" spans="2:15" ht="13.5" thickBot="1">
      <c r="C807" s="514" t="s">
        <v>97</v>
      </c>
      <c r="D807" s="515"/>
      <c r="E807" s="515"/>
      <c r="F807" s="515"/>
      <c r="G807" s="515"/>
      <c r="H807" s="515"/>
      <c r="I807" s="516"/>
      <c r="K807" s="3"/>
      <c r="L807" s="3"/>
      <c r="M807" s="3"/>
      <c r="N807" s="3"/>
      <c r="O807" s="3"/>
    </row>
    <row r="808" spans="2:15" ht="15">
      <c r="C808" s="517" t="s">
        <v>75</v>
      </c>
      <c r="D808" s="936">
        <v>32382268.41</v>
      </c>
      <c r="E808" s="3" t="s">
        <v>76</v>
      </c>
      <c r="G808" s="47"/>
      <c r="H808" s="47"/>
      <c r="I808" s="518">
        <f>$L$26</f>
        <v>2026</v>
      </c>
      <c r="J808" s="70"/>
      <c r="K808" s="1186" t="s">
        <v>247</v>
      </c>
      <c r="L808" s="1186"/>
      <c r="M808" s="1186"/>
      <c r="N808" s="1186"/>
      <c r="O808" s="1186"/>
    </row>
    <row r="809" spans="2:15">
      <c r="C809" s="517" t="s">
        <v>78</v>
      </c>
      <c r="D809" s="558">
        <v>2017</v>
      </c>
      <c r="E809" s="517" t="s">
        <v>79</v>
      </c>
      <c r="F809" s="47"/>
      <c r="H809"/>
      <c r="I809" s="559">
        <f>IF(G802="",0,$F$17)</f>
        <v>0</v>
      </c>
      <c r="J809" s="519"/>
      <c r="K809" s="492" t="s">
        <v>247</v>
      </c>
    </row>
    <row r="810" spans="2:15">
      <c r="C810" s="517" t="s">
        <v>80</v>
      </c>
      <c r="D810" s="937">
        <v>8</v>
      </c>
      <c r="E810" s="517" t="s">
        <v>81</v>
      </c>
      <c r="F810" s="47"/>
      <c r="H810"/>
      <c r="I810" s="520">
        <f>$G$70</f>
        <v>0.11191367266500543</v>
      </c>
      <c r="J810" s="478"/>
      <c r="K810" t="str">
        <f>"          INPUT PROJECTED ARR (WITH &amp; WITHOUT INCENTIVES) FROM EACH PRIOR YEAR"</f>
        <v xml:space="preserve">          INPUT PROJECTED ARR (WITH &amp; WITHOUT INCENTIVES) FROM EACH PRIOR YEAR</v>
      </c>
    </row>
    <row r="811" spans="2:15">
      <c r="C811" s="517" t="s">
        <v>82</v>
      </c>
      <c r="D811" s="521">
        <f>$G$79</f>
        <v>36</v>
      </c>
      <c r="E811" s="517" t="s">
        <v>83</v>
      </c>
      <c r="F811" s="47"/>
      <c r="H811"/>
      <c r="I811" s="520">
        <f>IF(G802="",I810,$G$69)</f>
        <v>0.11191367266500543</v>
      </c>
      <c r="J811" s="478"/>
      <c r="K811" t="s">
        <v>160</v>
      </c>
    </row>
    <row r="812" spans="2:15" ht="13.5" thickBot="1">
      <c r="C812" s="517" t="s">
        <v>84</v>
      </c>
      <c r="D812" s="556" t="s">
        <v>810</v>
      </c>
      <c r="E812" s="522" t="s">
        <v>85</v>
      </c>
      <c r="F812" s="523"/>
      <c r="G812" s="524"/>
      <c r="H812" s="524"/>
      <c r="I812" s="510">
        <f>IF(D808=0,0,D808/D811)</f>
        <v>899507.45583333331</v>
      </c>
      <c r="J812" s="492"/>
      <c r="K812" s="492" t="s">
        <v>166</v>
      </c>
      <c r="L812" s="492"/>
      <c r="M812" s="492"/>
      <c r="N812" s="492"/>
      <c r="O812" s="3"/>
    </row>
    <row r="813" spans="2:15" ht="51">
      <c r="B813" s="439"/>
      <c r="C813" s="525" t="s">
        <v>75</v>
      </c>
      <c r="D813" s="526" t="s">
        <v>86</v>
      </c>
      <c r="E813" s="527" t="s">
        <v>87</v>
      </c>
      <c r="F813" s="526" t="s">
        <v>88</v>
      </c>
      <c r="G813" s="527" t="s">
        <v>159</v>
      </c>
      <c r="H813" s="528" t="s">
        <v>159</v>
      </c>
      <c r="I813" s="525" t="s">
        <v>98</v>
      </c>
      <c r="J813" s="529"/>
      <c r="K813" s="527" t="s">
        <v>168</v>
      </c>
      <c r="L813" s="530"/>
      <c r="M813" s="527" t="s">
        <v>168</v>
      </c>
      <c r="N813" s="530"/>
      <c r="O813" s="530"/>
    </row>
    <row r="814" spans="2:15" ht="13.5" thickBot="1">
      <c r="C814" s="531" t="s">
        <v>475</v>
      </c>
      <c r="D814" s="532" t="s">
        <v>476</v>
      </c>
      <c r="E814" s="531" t="s">
        <v>369</v>
      </c>
      <c r="F814" s="532" t="s">
        <v>476</v>
      </c>
      <c r="G814" s="533" t="s">
        <v>101</v>
      </c>
      <c r="H814" s="534" t="s">
        <v>103</v>
      </c>
      <c r="I814" s="531" t="s">
        <v>15</v>
      </c>
      <c r="J814" s="535"/>
      <c r="K814" s="533" t="s">
        <v>90</v>
      </c>
      <c r="L814" s="536"/>
      <c r="M814" s="533" t="s">
        <v>103</v>
      </c>
      <c r="N814" s="536"/>
      <c r="O814" s="536"/>
    </row>
    <row r="815" spans="2:15">
      <c r="C815" s="537">
        <f>IF(D809= "","-",D809)</f>
        <v>2017</v>
      </c>
      <c r="D815" s="495">
        <f>+D808</f>
        <v>32382268.41</v>
      </c>
      <c r="E815" s="538">
        <f>+I812/12*(12-D810)</f>
        <v>299835.81861111108</v>
      </c>
      <c r="F815" s="495">
        <f>+D815-E815</f>
        <v>32082432.591388889</v>
      </c>
      <c r="G815" s="705">
        <f>+$I$96*((D815+F815)/2)+E815</f>
        <v>3907076.541769553</v>
      </c>
      <c r="H815" s="706">
        <f>$I$97*((D815+F815)/2)+E815</f>
        <v>3907076.541769553</v>
      </c>
      <c r="I815" s="541">
        <f>+H815-G815</f>
        <v>0</v>
      </c>
      <c r="J815" s="541"/>
      <c r="K815" s="560">
        <v>3283917</v>
      </c>
      <c r="L815" s="542"/>
      <c r="M815" s="560">
        <v>3283917</v>
      </c>
      <c r="N815" s="542"/>
      <c r="O815" s="542"/>
    </row>
    <row r="816" spans="2:15">
      <c r="C816" s="943">
        <f>IF(D809="","-",+C815+1)</f>
        <v>2018</v>
      </c>
      <c r="D816" s="495">
        <f t="shared" ref="D816:D874" si="48">F815</f>
        <v>32082432.591388889</v>
      </c>
      <c r="E816" s="538">
        <f>IF(D816&gt;$I$812,$I$812,D816)</f>
        <v>899507.45583333331</v>
      </c>
      <c r="F816" s="495">
        <f t="shared" ref="F816:F874" si="49">+D816-E816</f>
        <v>31182925.135555554</v>
      </c>
      <c r="G816" s="543">
        <f t="shared" ref="G816:G874" si="50">+$I$96*((D816+F816)/2)+E816</f>
        <v>4439636.7236771993</v>
      </c>
      <c r="H816" s="544">
        <f t="shared" ref="H816:H874" si="51">$I$97*((D816+F816)/2)+E816</f>
        <v>4439636.7236771993</v>
      </c>
      <c r="I816" s="541">
        <f t="shared" ref="I816:I874" si="52">+H816-G816</f>
        <v>0</v>
      </c>
      <c r="J816" s="541"/>
      <c r="K816" s="561">
        <v>3670194</v>
      </c>
      <c r="L816" s="545"/>
      <c r="M816" s="561">
        <v>3670194</v>
      </c>
      <c r="N816" s="545"/>
      <c r="O816" s="545"/>
    </row>
    <row r="817" spans="3:15">
      <c r="C817" s="943">
        <f>IF(D809="","-",+C816+1)</f>
        <v>2019</v>
      </c>
      <c r="D817" s="495">
        <f t="shared" si="48"/>
        <v>31182925.135555554</v>
      </c>
      <c r="E817" s="538">
        <f t="shared" ref="E817:E874" si="53">IF(D817&gt;$I$812,$I$812,D817)</f>
        <v>899507.45583333331</v>
      </c>
      <c r="F817" s="495">
        <f t="shared" si="49"/>
        <v>30283417.67972222</v>
      </c>
      <c r="G817" s="543">
        <f t="shared" si="50"/>
        <v>4338969.5407053353</v>
      </c>
      <c r="H817" s="544">
        <f t="shared" si="51"/>
        <v>4338969.5407053353</v>
      </c>
      <c r="I817" s="541">
        <f t="shared" si="52"/>
        <v>0</v>
      </c>
      <c r="J817" s="541"/>
      <c r="K817" s="561">
        <v>3932146.8343561077</v>
      </c>
      <c r="L817" s="545"/>
      <c r="M817" s="561">
        <v>3932146.8343561077</v>
      </c>
      <c r="N817" s="545"/>
      <c r="O817" s="545"/>
    </row>
    <row r="818" spans="3:15">
      <c r="C818" s="943">
        <f>IF(D809="","-",+C817+1)</f>
        <v>2020</v>
      </c>
      <c r="D818" s="495">
        <f t="shared" si="48"/>
        <v>30283417.67972222</v>
      </c>
      <c r="E818" s="538">
        <f t="shared" si="53"/>
        <v>899507.45583333331</v>
      </c>
      <c r="F818" s="495">
        <f t="shared" si="49"/>
        <v>29383910.223888885</v>
      </c>
      <c r="G818" s="543">
        <f t="shared" si="50"/>
        <v>4238302.3577334723</v>
      </c>
      <c r="H818" s="544">
        <f t="shared" si="51"/>
        <v>4238302.3577334723</v>
      </c>
      <c r="I818" s="541">
        <f t="shared" si="52"/>
        <v>0</v>
      </c>
      <c r="J818" s="541"/>
      <c r="K818" s="561">
        <v>4014940.5433018482</v>
      </c>
      <c r="L818" s="545"/>
      <c r="M818" s="561">
        <v>4014940.5433018482</v>
      </c>
      <c r="N818" s="545"/>
      <c r="O818" s="545"/>
    </row>
    <row r="819" spans="3:15">
      <c r="C819" s="943">
        <f>IF(D809="","-",+C818+1)</f>
        <v>2021</v>
      </c>
      <c r="D819" s="495">
        <f t="shared" si="48"/>
        <v>29383910.223888885</v>
      </c>
      <c r="E819" s="538">
        <f t="shared" si="53"/>
        <v>899507.45583333331</v>
      </c>
      <c r="F819" s="495">
        <f t="shared" si="49"/>
        <v>28484402.768055551</v>
      </c>
      <c r="G819" s="543">
        <f t="shared" si="50"/>
        <v>4137635.1747616082</v>
      </c>
      <c r="H819" s="544">
        <f t="shared" si="51"/>
        <v>4137635.1747616082</v>
      </c>
      <c r="I819" s="541">
        <f t="shared" si="52"/>
        <v>0</v>
      </c>
      <c r="J819" s="541"/>
      <c r="K819" s="561">
        <v>4001666.4118550606</v>
      </c>
      <c r="L819" s="545"/>
      <c r="M819" s="561">
        <v>4001666.4118550606</v>
      </c>
      <c r="N819" s="545"/>
      <c r="O819" s="545"/>
    </row>
    <row r="820" spans="3:15">
      <c r="C820" s="943">
        <f>IF(D809="","-",+C819+1)</f>
        <v>2022</v>
      </c>
      <c r="D820" s="495">
        <f t="shared" si="48"/>
        <v>28484402.768055551</v>
      </c>
      <c r="E820" s="538">
        <f t="shared" si="53"/>
        <v>899507.45583333331</v>
      </c>
      <c r="F820" s="495">
        <f t="shared" si="49"/>
        <v>27584895.312222216</v>
      </c>
      <c r="G820" s="543">
        <f t="shared" si="50"/>
        <v>4036967.9917897452</v>
      </c>
      <c r="H820" s="544">
        <f t="shared" si="51"/>
        <v>4036967.9917897452</v>
      </c>
      <c r="I820" s="541">
        <f t="shared" si="52"/>
        <v>0</v>
      </c>
      <c r="J820" s="541"/>
      <c r="K820" s="561">
        <v>4088252.0620316346</v>
      </c>
      <c r="L820" s="545"/>
      <c r="M820" s="561">
        <v>4088252.0620316346</v>
      </c>
      <c r="N820" s="545"/>
      <c r="O820" s="545"/>
    </row>
    <row r="821" spans="3:15">
      <c r="C821" s="537">
        <f>IF(D809="","-",+C820+1)</f>
        <v>2023</v>
      </c>
      <c r="D821" s="495">
        <f t="shared" si="48"/>
        <v>27584895.312222216</v>
      </c>
      <c r="E821" s="538">
        <f t="shared" si="53"/>
        <v>899507.45583333331</v>
      </c>
      <c r="F821" s="495">
        <f t="shared" si="49"/>
        <v>26685387.856388882</v>
      </c>
      <c r="G821" s="543">
        <f t="shared" si="50"/>
        <v>3936300.8088178812</v>
      </c>
      <c r="H821" s="544">
        <f t="shared" si="51"/>
        <v>3936300.8088178812</v>
      </c>
      <c r="I821" s="541">
        <f t="shared" si="52"/>
        <v>0</v>
      </c>
      <c r="J821" s="541"/>
      <c r="K821" s="561">
        <v>3989097.0707493438</v>
      </c>
      <c r="L821" s="545"/>
      <c r="M821" s="561">
        <v>3989097.0707493438</v>
      </c>
      <c r="N821" s="545"/>
      <c r="O821" s="545"/>
    </row>
    <row r="822" spans="3:15">
      <c r="C822" s="537">
        <f>IF(D809="","-",+C821+1)</f>
        <v>2024</v>
      </c>
      <c r="D822" s="495">
        <f t="shared" si="48"/>
        <v>26685387.856388882</v>
      </c>
      <c r="E822" s="538">
        <f t="shared" si="53"/>
        <v>899507.45583333331</v>
      </c>
      <c r="F822" s="495">
        <f t="shared" si="49"/>
        <v>25785880.400555547</v>
      </c>
      <c r="G822" s="543">
        <f t="shared" si="50"/>
        <v>3835633.6258460181</v>
      </c>
      <c r="H822" s="544">
        <f t="shared" si="51"/>
        <v>3835633.6258460181</v>
      </c>
      <c r="I822" s="541">
        <f t="shared" si="52"/>
        <v>0</v>
      </c>
      <c r="J822" s="541"/>
      <c r="K822" s="561">
        <v>3874549.8457288984</v>
      </c>
      <c r="L822" s="545"/>
      <c r="M822" s="561">
        <v>3874549.8457288984</v>
      </c>
      <c r="N822" s="545"/>
      <c r="O822" s="545"/>
    </row>
    <row r="823" spans="3:15">
      <c r="C823" s="537">
        <f>IF(D809="","-",+C822+1)</f>
        <v>2025</v>
      </c>
      <c r="D823" s="495">
        <f t="shared" si="48"/>
        <v>25785880.400555547</v>
      </c>
      <c r="E823" s="538">
        <f t="shared" si="53"/>
        <v>899507.45583333331</v>
      </c>
      <c r="F823" s="495">
        <f t="shared" si="49"/>
        <v>24886372.944722213</v>
      </c>
      <c r="G823" s="543">
        <f t="shared" si="50"/>
        <v>3734966.4428741541</v>
      </c>
      <c r="H823" s="544">
        <f t="shared" si="51"/>
        <v>3734966.4428741541</v>
      </c>
      <c r="I823" s="541">
        <f t="shared" si="52"/>
        <v>0</v>
      </c>
      <c r="J823" s="541"/>
      <c r="K823" s="561">
        <v>3811248.0488271257</v>
      </c>
      <c r="L823" s="545"/>
      <c r="M823" s="561">
        <v>3811248.0488271257</v>
      </c>
      <c r="N823" s="545"/>
      <c r="O823" s="545"/>
    </row>
    <row r="824" spans="3:15">
      <c r="C824" s="935">
        <f>IF(D809="","-",+C823+1)</f>
        <v>2026</v>
      </c>
      <c r="D824" s="495">
        <f t="shared" si="48"/>
        <v>24886372.944722213</v>
      </c>
      <c r="E824" s="538">
        <f t="shared" si="53"/>
        <v>899507.45583333331</v>
      </c>
      <c r="F824" s="495">
        <f t="shared" si="49"/>
        <v>23986865.488888878</v>
      </c>
      <c r="G824" s="543">
        <f t="shared" si="50"/>
        <v>3634299.259902291</v>
      </c>
      <c r="H824" s="544">
        <f t="shared" si="51"/>
        <v>3634299.259902291</v>
      </c>
      <c r="I824" s="541">
        <f t="shared" si="52"/>
        <v>0</v>
      </c>
      <c r="J824" s="541"/>
      <c r="K824" s="561"/>
      <c r="L824" s="545"/>
      <c r="M824" s="561"/>
      <c r="N824" s="545"/>
      <c r="O824" s="545"/>
    </row>
    <row r="825" spans="3:15">
      <c r="C825" s="537">
        <f>IF(D809="","-",+C824+1)</f>
        <v>2027</v>
      </c>
      <c r="D825" s="495">
        <f t="shared" si="48"/>
        <v>23986865.488888878</v>
      </c>
      <c r="E825" s="538">
        <f t="shared" si="53"/>
        <v>899507.45583333331</v>
      </c>
      <c r="F825" s="495">
        <f t="shared" si="49"/>
        <v>23087358.033055544</v>
      </c>
      <c r="G825" s="543">
        <f t="shared" si="50"/>
        <v>3533632.076930427</v>
      </c>
      <c r="H825" s="544">
        <f t="shared" si="51"/>
        <v>3533632.076930427</v>
      </c>
      <c r="I825" s="541">
        <f t="shared" si="52"/>
        <v>0</v>
      </c>
      <c r="J825" s="541"/>
      <c r="K825" s="561"/>
      <c r="L825" s="545"/>
      <c r="M825" s="561"/>
      <c r="N825" s="545"/>
      <c r="O825" s="545"/>
    </row>
    <row r="826" spans="3:15">
      <c r="C826" s="537">
        <f>IF(D809="","-",+C825+1)</f>
        <v>2028</v>
      </c>
      <c r="D826" s="495">
        <f t="shared" si="48"/>
        <v>23087358.033055544</v>
      </c>
      <c r="E826" s="538">
        <f t="shared" si="53"/>
        <v>899507.45583333331</v>
      </c>
      <c r="F826" s="495">
        <f t="shared" si="49"/>
        <v>22187850.577222209</v>
      </c>
      <c r="G826" s="543">
        <f t="shared" si="50"/>
        <v>3432964.8939585639</v>
      </c>
      <c r="H826" s="544">
        <f t="shared" si="51"/>
        <v>3432964.8939585639</v>
      </c>
      <c r="I826" s="541">
        <f t="shared" si="52"/>
        <v>0</v>
      </c>
      <c r="J826" s="541"/>
      <c r="K826" s="561"/>
      <c r="L826" s="545"/>
      <c r="M826" s="561"/>
      <c r="N826" s="545"/>
      <c r="O826" s="545"/>
    </row>
    <row r="827" spans="3:15">
      <c r="C827" s="537">
        <f>IF(D809="","-",+C826+1)</f>
        <v>2029</v>
      </c>
      <c r="D827" s="495">
        <f t="shared" si="48"/>
        <v>22187850.577222209</v>
      </c>
      <c r="E827" s="538">
        <f t="shared" si="53"/>
        <v>899507.45583333331</v>
      </c>
      <c r="F827" s="495">
        <f t="shared" si="49"/>
        <v>21288343.121388875</v>
      </c>
      <c r="G827" s="543">
        <f t="shared" si="50"/>
        <v>3332297.7109866999</v>
      </c>
      <c r="H827" s="544">
        <f t="shared" si="51"/>
        <v>3332297.7109866999</v>
      </c>
      <c r="I827" s="541">
        <f t="shared" si="52"/>
        <v>0</v>
      </c>
      <c r="J827" s="541"/>
      <c r="K827" s="561"/>
      <c r="L827" s="545"/>
      <c r="M827" s="561"/>
      <c r="N827" s="546"/>
      <c r="O827" s="545"/>
    </row>
    <row r="828" spans="3:15">
      <c r="C828" s="537">
        <f>IF(D809="","-",+C827+1)</f>
        <v>2030</v>
      </c>
      <c r="D828" s="495">
        <f t="shared" si="48"/>
        <v>21288343.121388875</v>
      </c>
      <c r="E828" s="538">
        <f t="shared" si="53"/>
        <v>899507.45583333331</v>
      </c>
      <c r="F828" s="495">
        <f t="shared" si="49"/>
        <v>20388835.66555554</v>
      </c>
      <c r="G828" s="543">
        <f t="shared" si="50"/>
        <v>3231630.5280148359</v>
      </c>
      <c r="H828" s="544">
        <f t="shared" si="51"/>
        <v>3231630.5280148359</v>
      </c>
      <c r="I828" s="541">
        <f t="shared" si="52"/>
        <v>0</v>
      </c>
      <c r="J828" s="541"/>
      <c r="K828" s="561"/>
      <c r="L828" s="545"/>
      <c r="M828" s="561"/>
      <c r="N828" s="545"/>
      <c r="O828" s="545"/>
    </row>
    <row r="829" spans="3:15">
      <c r="C829" s="537">
        <f>IF(D809="","-",+C828+1)</f>
        <v>2031</v>
      </c>
      <c r="D829" s="495">
        <f t="shared" si="48"/>
        <v>20388835.66555554</v>
      </c>
      <c r="E829" s="538">
        <f t="shared" si="53"/>
        <v>899507.45583333331</v>
      </c>
      <c r="F829" s="495">
        <f t="shared" si="49"/>
        <v>19489328.209722206</v>
      </c>
      <c r="G829" s="543">
        <f t="shared" si="50"/>
        <v>3130963.3450429719</v>
      </c>
      <c r="H829" s="544">
        <f t="shared" si="51"/>
        <v>3130963.3450429719</v>
      </c>
      <c r="I829" s="541">
        <f t="shared" si="52"/>
        <v>0</v>
      </c>
      <c r="J829" s="541"/>
      <c r="K829" s="561"/>
      <c r="L829" s="545"/>
      <c r="M829" s="561"/>
      <c r="N829" s="545"/>
      <c r="O829" s="545"/>
    </row>
    <row r="830" spans="3:15">
      <c r="C830" s="537">
        <f>IF(D809="","-",+C829+1)</f>
        <v>2032</v>
      </c>
      <c r="D830" s="495">
        <f t="shared" si="48"/>
        <v>19489328.209722206</v>
      </c>
      <c r="E830" s="538">
        <f t="shared" si="53"/>
        <v>899507.45583333331</v>
      </c>
      <c r="F830" s="495">
        <f t="shared" si="49"/>
        <v>18589820.753888872</v>
      </c>
      <c r="G830" s="543">
        <f t="shared" si="50"/>
        <v>3030296.1620711088</v>
      </c>
      <c r="H830" s="544">
        <f t="shared" si="51"/>
        <v>3030296.1620711088</v>
      </c>
      <c r="I830" s="541">
        <f t="shared" si="52"/>
        <v>0</v>
      </c>
      <c r="J830" s="541"/>
      <c r="K830" s="561"/>
      <c r="L830" s="545"/>
      <c r="M830" s="561"/>
      <c r="N830" s="545"/>
      <c r="O830" s="545"/>
    </row>
    <row r="831" spans="3:15">
      <c r="C831" s="537">
        <f>IF(D809="","-",+C830+1)</f>
        <v>2033</v>
      </c>
      <c r="D831" s="495">
        <f t="shared" si="48"/>
        <v>18589820.753888872</v>
      </c>
      <c r="E831" s="538">
        <f t="shared" si="53"/>
        <v>899507.45583333331</v>
      </c>
      <c r="F831" s="495">
        <f t="shared" si="49"/>
        <v>17690313.298055537</v>
      </c>
      <c r="G831" s="543">
        <f t="shared" si="50"/>
        <v>2929628.9790992448</v>
      </c>
      <c r="H831" s="544">
        <f t="shared" si="51"/>
        <v>2929628.9790992448</v>
      </c>
      <c r="I831" s="541">
        <f t="shared" si="52"/>
        <v>0</v>
      </c>
      <c r="J831" s="541"/>
      <c r="K831" s="561"/>
      <c r="L831" s="545"/>
      <c r="M831" s="561"/>
      <c r="N831" s="545"/>
      <c r="O831" s="545"/>
    </row>
    <row r="832" spans="3:15">
      <c r="C832" s="537">
        <f>IF(D809="","-",+C831+1)</f>
        <v>2034</v>
      </c>
      <c r="D832" s="495">
        <f t="shared" si="48"/>
        <v>17690313.298055537</v>
      </c>
      <c r="E832" s="538">
        <f t="shared" si="53"/>
        <v>899507.45583333331</v>
      </c>
      <c r="F832" s="495">
        <f t="shared" si="49"/>
        <v>16790805.842222203</v>
      </c>
      <c r="G832" s="543">
        <f t="shared" si="50"/>
        <v>2828961.7961273817</v>
      </c>
      <c r="H832" s="544">
        <f t="shared" si="51"/>
        <v>2828961.7961273817</v>
      </c>
      <c r="I832" s="541">
        <f t="shared" si="52"/>
        <v>0</v>
      </c>
      <c r="J832" s="541"/>
      <c r="K832" s="561"/>
      <c r="L832" s="545"/>
      <c r="M832" s="561"/>
      <c r="N832" s="545"/>
      <c r="O832" s="545"/>
    </row>
    <row r="833" spans="3:15">
      <c r="C833" s="537">
        <f>IF(D809="","-",+C832+1)</f>
        <v>2035</v>
      </c>
      <c r="D833" s="495">
        <f t="shared" si="48"/>
        <v>16790805.842222203</v>
      </c>
      <c r="E833" s="538">
        <f t="shared" si="53"/>
        <v>899507.45583333331</v>
      </c>
      <c r="F833" s="495">
        <f t="shared" si="49"/>
        <v>15891298.38638887</v>
      </c>
      <c r="G833" s="543">
        <f t="shared" si="50"/>
        <v>2728294.6131555182</v>
      </c>
      <c r="H833" s="544">
        <f t="shared" si="51"/>
        <v>2728294.6131555182</v>
      </c>
      <c r="I833" s="541">
        <f t="shared" si="52"/>
        <v>0</v>
      </c>
      <c r="J833" s="541"/>
      <c r="K833" s="561"/>
      <c r="L833" s="545"/>
      <c r="M833" s="561"/>
      <c r="N833" s="545"/>
      <c r="O833" s="545"/>
    </row>
    <row r="834" spans="3:15">
      <c r="C834" s="537">
        <f>IF(D809="","-",+C833+1)</f>
        <v>2036</v>
      </c>
      <c r="D834" s="495">
        <f t="shared" si="48"/>
        <v>15891298.38638887</v>
      </c>
      <c r="E834" s="538">
        <f t="shared" si="53"/>
        <v>899507.45583333331</v>
      </c>
      <c r="F834" s="495">
        <f t="shared" si="49"/>
        <v>14991790.930555537</v>
      </c>
      <c r="G834" s="543">
        <f t="shared" si="50"/>
        <v>2627627.4301836547</v>
      </c>
      <c r="H834" s="544">
        <f t="shared" si="51"/>
        <v>2627627.4301836547</v>
      </c>
      <c r="I834" s="541">
        <f t="shared" si="52"/>
        <v>0</v>
      </c>
      <c r="J834" s="541"/>
      <c r="K834" s="561"/>
      <c r="L834" s="545"/>
      <c r="M834" s="561"/>
      <c r="N834" s="545"/>
      <c r="O834" s="545"/>
    </row>
    <row r="835" spans="3:15">
      <c r="C835" s="537">
        <f>IF(D809="","-",+C834+1)</f>
        <v>2037</v>
      </c>
      <c r="D835" s="495">
        <f t="shared" si="48"/>
        <v>14991790.930555537</v>
      </c>
      <c r="E835" s="538">
        <f t="shared" si="53"/>
        <v>899507.45583333331</v>
      </c>
      <c r="F835" s="495">
        <f t="shared" si="49"/>
        <v>14092283.474722205</v>
      </c>
      <c r="G835" s="543">
        <f t="shared" si="50"/>
        <v>2526960.2472117916</v>
      </c>
      <c r="H835" s="544">
        <f t="shared" si="51"/>
        <v>2526960.2472117916</v>
      </c>
      <c r="I835" s="541">
        <f t="shared" si="52"/>
        <v>0</v>
      </c>
      <c r="J835" s="541"/>
      <c r="K835" s="561"/>
      <c r="L835" s="545"/>
      <c r="M835" s="561"/>
      <c r="N835" s="545"/>
      <c r="O835" s="545"/>
    </row>
    <row r="836" spans="3:15">
      <c r="C836" s="537">
        <f>IF(D809="","-",+C835+1)</f>
        <v>2038</v>
      </c>
      <c r="D836" s="495">
        <f t="shared" si="48"/>
        <v>14092283.474722205</v>
      </c>
      <c r="E836" s="538">
        <f t="shared" si="53"/>
        <v>899507.45583333331</v>
      </c>
      <c r="F836" s="495">
        <f t="shared" si="49"/>
        <v>13192776.018888872</v>
      </c>
      <c r="G836" s="543">
        <f t="shared" si="50"/>
        <v>2426293.0642399276</v>
      </c>
      <c r="H836" s="544">
        <f t="shared" si="51"/>
        <v>2426293.0642399276</v>
      </c>
      <c r="I836" s="541">
        <f t="shared" si="52"/>
        <v>0</v>
      </c>
      <c r="J836" s="541"/>
      <c r="K836" s="561"/>
      <c r="L836" s="545"/>
      <c r="M836" s="561"/>
      <c r="N836" s="545"/>
      <c r="O836" s="545"/>
    </row>
    <row r="837" spans="3:15">
      <c r="C837" s="537">
        <f>IF(D809="","-",+C836+1)</f>
        <v>2039</v>
      </c>
      <c r="D837" s="495">
        <f t="shared" si="48"/>
        <v>13192776.018888872</v>
      </c>
      <c r="E837" s="538">
        <f t="shared" si="53"/>
        <v>899507.45583333331</v>
      </c>
      <c r="F837" s="495">
        <f t="shared" si="49"/>
        <v>12293268.56305554</v>
      </c>
      <c r="G837" s="543">
        <f t="shared" si="50"/>
        <v>2325625.8812680645</v>
      </c>
      <c r="H837" s="544">
        <f t="shared" si="51"/>
        <v>2325625.8812680645</v>
      </c>
      <c r="I837" s="541">
        <f t="shared" si="52"/>
        <v>0</v>
      </c>
      <c r="J837" s="541"/>
      <c r="K837" s="561"/>
      <c r="L837" s="545"/>
      <c r="M837" s="561"/>
      <c r="N837" s="545"/>
      <c r="O837" s="545"/>
    </row>
    <row r="838" spans="3:15">
      <c r="C838" s="537">
        <f>IF(D809="","-",+C837+1)</f>
        <v>2040</v>
      </c>
      <c r="D838" s="495">
        <f t="shared" si="48"/>
        <v>12293268.56305554</v>
      </c>
      <c r="E838" s="538">
        <f t="shared" si="53"/>
        <v>899507.45583333331</v>
      </c>
      <c r="F838" s="495">
        <f t="shared" si="49"/>
        <v>11393761.107222207</v>
      </c>
      <c r="G838" s="543">
        <f t="shared" si="50"/>
        <v>2224958.6982962005</v>
      </c>
      <c r="H838" s="544">
        <f t="shared" si="51"/>
        <v>2224958.6982962005</v>
      </c>
      <c r="I838" s="541">
        <f t="shared" si="52"/>
        <v>0</v>
      </c>
      <c r="J838" s="541"/>
      <c r="K838" s="561"/>
      <c r="L838" s="545"/>
      <c r="M838" s="561"/>
      <c r="N838" s="545"/>
      <c r="O838" s="545"/>
    </row>
    <row r="839" spans="3:15">
      <c r="C839" s="537">
        <f>IF(D809="","-",+C838+1)</f>
        <v>2041</v>
      </c>
      <c r="D839" s="495">
        <f t="shared" si="48"/>
        <v>11393761.107222207</v>
      </c>
      <c r="E839" s="538">
        <f t="shared" si="53"/>
        <v>899507.45583333331</v>
      </c>
      <c r="F839" s="495">
        <f t="shared" si="49"/>
        <v>10494253.651388874</v>
      </c>
      <c r="G839" s="543">
        <f t="shared" si="50"/>
        <v>2124291.5153243374</v>
      </c>
      <c r="H839" s="544">
        <f t="shared" si="51"/>
        <v>2124291.5153243374</v>
      </c>
      <c r="I839" s="541">
        <f t="shared" si="52"/>
        <v>0</v>
      </c>
      <c r="J839" s="541"/>
      <c r="K839" s="561"/>
      <c r="L839" s="545"/>
      <c r="M839" s="561"/>
      <c r="N839" s="545"/>
      <c r="O839" s="545"/>
    </row>
    <row r="840" spans="3:15">
      <c r="C840" s="537">
        <f>IF(D809="","-",+C839+1)</f>
        <v>2042</v>
      </c>
      <c r="D840" s="495">
        <f t="shared" si="48"/>
        <v>10494253.651388874</v>
      </c>
      <c r="E840" s="538">
        <f t="shared" si="53"/>
        <v>899507.45583333331</v>
      </c>
      <c r="F840" s="495">
        <f t="shared" si="49"/>
        <v>9594746.1955555417</v>
      </c>
      <c r="G840" s="543">
        <f t="shared" si="50"/>
        <v>2023624.3323524741</v>
      </c>
      <c r="H840" s="544">
        <f t="shared" si="51"/>
        <v>2023624.3323524741</v>
      </c>
      <c r="I840" s="541">
        <f t="shared" si="52"/>
        <v>0</v>
      </c>
      <c r="J840" s="541"/>
      <c r="K840" s="561"/>
      <c r="L840" s="545"/>
      <c r="M840" s="561"/>
      <c r="N840" s="545"/>
      <c r="O840" s="545"/>
    </row>
    <row r="841" spans="3:15">
      <c r="C841" s="537">
        <f>IF(D809="","-",+C840+1)</f>
        <v>2043</v>
      </c>
      <c r="D841" s="495">
        <f t="shared" si="48"/>
        <v>9594746.1955555417</v>
      </c>
      <c r="E841" s="538">
        <f t="shared" si="53"/>
        <v>899507.45583333331</v>
      </c>
      <c r="F841" s="495">
        <f t="shared" si="49"/>
        <v>8695238.7397222091</v>
      </c>
      <c r="G841" s="543">
        <f t="shared" si="50"/>
        <v>1922957.1493806108</v>
      </c>
      <c r="H841" s="544">
        <f t="shared" si="51"/>
        <v>1922957.1493806108</v>
      </c>
      <c r="I841" s="541">
        <f t="shared" si="52"/>
        <v>0</v>
      </c>
      <c r="J841" s="541"/>
      <c r="K841" s="561"/>
      <c r="L841" s="545"/>
      <c r="M841" s="561"/>
      <c r="N841" s="545"/>
      <c r="O841" s="545"/>
    </row>
    <row r="842" spans="3:15">
      <c r="C842" s="537">
        <f>IF(D809="","-",+C841+1)</f>
        <v>2044</v>
      </c>
      <c r="D842" s="495">
        <f t="shared" si="48"/>
        <v>8695238.7397222091</v>
      </c>
      <c r="E842" s="538">
        <f t="shared" si="53"/>
        <v>899507.45583333331</v>
      </c>
      <c r="F842" s="495">
        <f t="shared" si="49"/>
        <v>7795731.2838888755</v>
      </c>
      <c r="G842" s="543">
        <f t="shared" si="50"/>
        <v>1822289.9664087472</v>
      </c>
      <c r="H842" s="544">
        <f t="shared" si="51"/>
        <v>1822289.9664087472</v>
      </c>
      <c r="I842" s="541">
        <f t="shared" si="52"/>
        <v>0</v>
      </c>
      <c r="J842" s="541"/>
      <c r="K842" s="561"/>
      <c r="L842" s="545"/>
      <c r="M842" s="561"/>
      <c r="N842" s="545"/>
      <c r="O842" s="545"/>
    </row>
    <row r="843" spans="3:15">
      <c r="C843" s="537">
        <f>IF(D809="","-",+C842+1)</f>
        <v>2045</v>
      </c>
      <c r="D843" s="495">
        <f t="shared" si="48"/>
        <v>7795731.2838888755</v>
      </c>
      <c r="E843" s="538">
        <f t="shared" si="53"/>
        <v>899507.45583333331</v>
      </c>
      <c r="F843" s="495">
        <f t="shared" si="49"/>
        <v>6896223.828055542</v>
      </c>
      <c r="G843" s="539">
        <f t="shared" si="50"/>
        <v>1721622.7834368837</v>
      </c>
      <c r="H843" s="544">
        <f t="shared" si="51"/>
        <v>1721622.7834368837</v>
      </c>
      <c r="I843" s="541">
        <f t="shared" si="52"/>
        <v>0</v>
      </c>
      <c r="J843" s="541"/>
      <c r="K843" s="561"/>
      <c r="L843" s="545"/>
      <c r="M843" s="561"/>
      <c r="N843" s="545"/>
      <c r="O843" s="545"/>
    </row>
    <row r="844" spans="3:15">
      <c r="C844" s="537">
        <f>IF(D809="","-",+C843+1)</f>
        <v>2046</v>
      </c>
      <c r="D844" s="495">
        <f t="shared" si="48"/>
        <v>6896223.828055542</v>
      </c>
      <c r="E844" s="538">
        <f t="shared" si="53"/>
        <v>899507.45583333331</v>
      </c>
      <c r="F844" s="495">
        <f t="shared" si="49"/>
        <v>5996716.3722222084</v>
      </c>
      <c r="G844" s="543">
        <f t="shared" si="50"/>
        <v>1620955.6004650202</v>
      </c>
      <c r="H844" s="544">
        <f t="shared" si="51"/>
        <v>1620955.6004650202</v>
      </c>
      <c r="I844" s="541">
        <f t="shared" si="52"/>
        <v>0</v>
      </c>
      <c r="J844" s="541"/>
      <c r="K844" s="561"/>
      <c r="L844" s="545"/>
      <c r="M844" s="561"/>
      <c r="N844" s="545"/>
      <c r="O844" s="545"/>
    </row>
    <row r="845" spans="3:15">
      <c r="C845" s="537">
        <f>IF(D809="","-",+C844+1)</f>
        <v>2047</v>
      </c>
      <c r="D845" s="495">
        <f t="shared" si="48"/>
        <v>5996716.3722222084</v>
      </c>
      <c r="E845" s="538">
        <f t="shared" si="53"/>
        <v>899507.45583333331</v>
      </c>
      <c r="F845" s="495">
        <f t="shared" si="49"/>
        <v>5097208.9163888749</v>
      </c>
      <c r="G845" s="543">
        <f t="shared" si="50"/>
        <v>1520288.4174931566</v>
      </c>
      <c r="H845" s="544">
        <f t="shared" si="51"/>
        <v>1520288.4174931566</v>
      </c>
      <c r="I845" s="541">
        <f t="shared" si="52"/>
        <v>0</v>
      </c>
      <c r="J845" s="541"/>
      <c r="K845" s="561"/>
      <c r="L845" s="545"/>
      <c r="M845" s="561"/>
      <c r="N845" s="545"/>
      <c r="O845" s="545"/>
    </row>
    <row r="846" spans="3:15">
      <c r="C846" s="537">
        <f>IF(D809="","-",+C845+1)</f>
        <v>2048</v>
      </c>
      <c r="D846" s="495">
        <f t="shared" si="48"/>
        <v>5097208.9163888749</v>
      </c>
      <c r="E846" s="538">
        <f t="shared" si="53"/>
        <v>899507.45583333331</v>
      </c>
      <c r="F846" s="495">
        <f t="shared" si="49"/>
        <v>4197701.4605555413</v>
      </c>
      <c r="G846" s="543">
        <f t="shared" si="50"/>
        <v>1419621.2345212931</v>
      </c>
      <c r="H846" s="544">
        <f t="shared" si="51"/>
        <v>1419621.2345212931</v>
      </c>
      <c r="I846" s="541">
        <f t="shared" si="52"/>
        <v>0</v>
      </c>
      <c r="J846" s="541"/>
      <c r="K846" s="561"/>
      <c r="L846" s="545"/>
      <c r="M846" s="561"/>
      <c r="N846" s="545"/>
      <c r="O846" s="545"/>
    </row>
    <row r="847" spans="3:15">
      <c r="C847" s="537">
        <f>IF(D809="","-",+C846+1)</f>
        <v>2049</v>
      </c>
      <c r="D847" s="495">
        <f t="shared" si="48"/>
        <v>4197701.4605555413</v>
      </c>
      <c r="E847" s="538">
        <f t="shared" si="53"/>
        <v>899507.45583333331</v>
      </c>
      <c r="F847" s="495">
        <f t="shared" si="49"/>
        <v>3298194.0047222078</v>
      </c>
      <c r="G847" s="543">
        <f t="shared" si="50"/>
        <v>1318954.0515494295</v>
      </c>
      <c r="H847" s="544">
        <f t="shared" si="51"/>
        <v>1318954.0515494295</v>
      </c>
      <c r="I847" s="541">
        <f t="shared" si="52"/>
        <v>0</v>
      </c>
      <c r="J847" s="541"/>
      <c r="K847" s="561"/>
      <c r="L847" s="545"/>
      <c r="M847" s="561"/>
      <c r="N847" s="545"/>
      <c r="O847" s="545"/>
    </row>
    <row r="848" spans="3:15">
      <c r="C848" s="537">
        <f>IF(D809="","-",+C847+1)</f>
        <v>2050</v>
      </c>
      <c r="D848" s="495">
        <f t="shared" si="48"/>
        <v>3298194.0047222078</v>
      </c>
      <c r="E848" s="538">
        <f t="shared" si="53"/>
        <v>899507.45583333331</v>
      </c>
      <c r="F848" s="495">
        <f t="shared" si="49"/>
        <v>2398686.5488888742</v>
      </c>
      <c r="G848" s="543">
        <f t="shared" si="50"/>
        <v>1218286.868577566</v>
      </c>
      <c r="H848" s="544">
        <f t="shared" si="51"/>
        <v>1218286.868577566</v>
      </c>
      <c r="I848" s="541">
        <f t="shared" si="52"/>
        <v>0</v>
      </c>
      <c r="J848" s="541"/>
      <c r="K848" s="561"/>
      <c r="L848" s="545"/>
      <c r="M848" s="561"/>
      <c r="N848" s="545"/>
      <c r="O848" s="545"/>
    </row>
    <row r="849" spans="3:15">
      <c r="C849" s="537">
        <f>IF(D809="","-",+C848+1)</f>
        <v>2051</v>
      </c>
      <c r="D849" s="495">
        <f t="shared" si="48"/>
        <v>2398686.5488888742</v>
      </c>
      <c r="E849" s="538">
        <f t="shared" si="53"/>
        <v>899507.45583333331</v>
      </c>
      <c r="F849" s="495">
        <f t="shared" si="49"/>
        <v>1499179.0930555409</v>
      </c>
      <c r="G849" s="543">
        <f t="shared" si="50"/>
        <v>1117619.6856057025</v>
      </c>
      <c r="H849" s="544">
        <f t="shared" si="51"/>
        <v>1117619.6856057025</v>
      </c>
      <c r="I849" s="541">
        <f t="shared" si="52"/>
        <v>0</v>
      </c>
      <c r="J849" s="541"/>
      <c r="K849" s="561"/>
      <c r="L849" s="545"/>
      <c r="M849" s="561"/>
      <c r="N849" s="545"/>
      <c r="O849" s="545"/>
    </row>
    <row r="850" spans="3:15">
      <c r="C850" s="537">
        <f>IF(D809="","-",+C849+1)</f>
        <v>2052</v>
      </c>
      <c r="D850" s="495">
        <f t="shared" si="48"/>
        <v>1499179.0930555409</v>
      </c>
      <c r="E850" s="538">
        <f t="shared" si="53"/>
        <v>899507.45583333331</v>
      </c>
      <c r="F850" s="495">
        <f t="shared" si="49"/>
        <v>599671.63722220762</v>
      </c>
      <c r="G850" s="543">
        <f t="shared" si="50"/>
        <v>1016952.5026338391</v>
      </c>
      <c r="H850" s="544">
        <f t="shared" si="51"/>
        <v>1016952.5026338391</v>
      </c>
      <c r="I850" s="541">
        <f t="shared" si="52"/>
        <v>0</v>
      </c>
      <c r="J850" s="541"/>
      <c r="K850" s="561"/>
      <c r="L850" s="545"/>
      <c r="M850" s="561"/>
      <c r="N850" s="545"/>
      <c r="O850" s="545"/>
    </row>
    <row r="851" spans="3:15">
      <c r="C851" s="537">
        <f>IF(D809="","-",+C850+1)</f>
        <v>2053</v>
      </c>
      <c r="D851" s="495">
        <f t="shared" si="48"/>
        <v>599671.63722220762</v>
      </c>
      <c r="E851" s="538">
        <f t="shared" si="53"/>
        <v>599671.63722220762</v>
      </c>
      <c r="F851" s="495">
        <f t="shared" si="49"/>
        <v>0</v>
      </c>
      <c r="G851" s="543">
        <f t="shared" si="50"/>
        <v>633227.36487949465</v>
      </c>
      <c r="H851" s="544">
        <f t="shared" si="51"/>
        <v>633227.36487949465</v>
      </c>
      <c r="I851" s="541">
        <f t="shared" si="52"/>
        <v>0</v>
      </c>
      <c r="J851" s="541"/>
      <c r="K851" s="561"/>
      <c r="L851" s="545"/>
      <c r="M851" s="561"/>
      <c r="N851" s="545"/>
      <c r="O851" s="545"/>
    </row>
    <row r="852" spans="3:15">
      <c r="C852" s="537">
        <f>IF(D809="","-",+C851+1)</f>
        <v>2054</v>
      </c>
      <c r="D852" s="495">
        <f t="shared" si="48"/>
        <v>0</v>
      </c>
      <c r="E852" s="538">
        <f t="shared" si="53"/>
        <v>0</v>
      </c>
      <c r="F852" s="495">
        <f t="shared" si="49"/>
        <v>0</v>
      </c>
      <c r="G852" s="543">
        <f t="shared" si="50"/>
        <v>0</v>
      </c>
      <c r="H852" s="544">
        <f t="shared" si="51"/>
        <v>0</v>
      </c>
      <c r="I852" s="541">
        <f t="shared" si="52"/>
        <v>0</v>
      </c>
      <c r="J852" s="541"/>
      <c r="K852" s="561"/>
      <c r="L852" s="545"/>
      <c r="M852" s="561"/>
      <c r="N852" s="545"/>
      <c r="O852" s="545"/>
    </row>
    <row r="853" spans="3:15">
      <c r="C853" s="537">
        <f>IF(D809="","-",+C852+1)</f>
        <v>2055</v>
      </c>
      <c r="D853" s="495">
        <f t="shared" si="48"/>
        <v>0</v>
      </c>
      <c r="E853" s="538">
        <f t="shared" si="53"/>
        <v>0</v>
      </c>
      <c r="F853" s="495">
        <f t="shared" si="49"/>
        <v>0</v>
      </c>
      <c r="G853" s="543">
        <f t="shared" si="50"/>
        <v>0</v>
      </c>
      <c r="H853" s="544">
        <f t="shared" si="51"/>
        <v>0</v>
      </c>
      <c r="I853" s="541">
        <f t="shared" si="52"/>
        <v>0</v>
      </c>
      <c r="J853" s="541"/>
      <c r="K853" s="561"/>
      <c r="L853" s="545"/>
      <c r="M853" s="561"/>
      <c r="N853" s="545"/>
      <c r="O853" s="545"/>
    </row>
    <row r="854" spans="3:15">
      <c r="C854" s="537">
        <f>IF(D809="","-",+C853+1)</f>
        <v>2056</v>
      </c>
      <c r="D854" s="495">
        <f t="shared" si="48"/>
        <v>0</v>
      </c>
      <c r="E854" s="538">
        <f t="shared" si="53"/>
        <v>0</v>
      </c>
      <c r="F854" s="495">
        <f t="shared" si="49"/>
        <v>0</v>
      </c>
      <c r="G854" s="543">
        <f t="shared" si="50"/>
        <v>0</v>
      </c>
      <c r="H854" s="544">
        <f t="shared" si="51"/>
        <v>0</v>
      </c>
      <c r="I854" s="541">
        <f t="shared" si="52"/>
        <v>0</v>
      </c>
      <c r="J854" s="541"/>
      <c r="K854" s="561"/>
      <c r="L854" s="545"/>
      <c r="M854" s="561"/>
      <c r="N854" s="545"/>
      <c r="O854" s="545"/>
    </row>
    <row r="855" spans="3:15">
      <c r="C855" s="537">
        <f>IF(D809="","-",+C854+1)</f>
        <v>2057</v>
      </c>
      <c r="D855" s="495">
        <f t="shared" si="48"/>
        <v>0</v>
      </c>
      <c r="E855" s="538">
        <f t="shared" si="53"/>
        <v>0</v>
      </c>
      <c r="F855" s="495">
        <f t="shared" si="49"/>
        <v>0</v>
      </c>
      <c r="G855" s="543">
        <f t="shared" si="50"/>
        <v>0</v>
      </c>
      <c r="H855" s="544">
        <f t="shared" si="51"/>
        <v>0</v>
      </c>
      <c r="I855" s="541">
        <f t="shared" si="52"/>
        <v>0</v>
      </c>
      <c r="J855" s="541"/>
      <c r="K855" s="561"/>
      <c r="L855" s="545"/>
      <c r="M855" s="561"/>
      <c r="N855" s="545"/>
      <c r="O855" s="545"/>
    </row>
    <row r="856" spans="3:15">
      <c r="C856" s="537">
        <f>IF(D809="","-",+C855+1)</f>
        <v>2058</v>
      </c>
      <c r="D856" s="495">
        <f t="shared" si="48"/>
        <v>0</v>
      </c>
      <c r="E856" s="538">
        <f t="shared" si="53"/>
        <v>0</v>
      </c>
      <c r="F856" s="495">
        <f t="shared" si="49"/>
        <v>0</v>
      </c>
      <c r="G856" s="543">
        <f t="shared" si="50"/>
        <v>0</v>
      </c>
      <c r="H856" s="544">
        <f t="shared" si="51"/>
        <v>0</v>
      </c>
      <c r="I856" s="541">
        <f t="shared" si="52"/>
        <v>0</v>
      </c>
      <c r="J856" s="541"/>
      <c r="K856" s="561"/>
      <c r="L856" s="545"/>
      <c r="M856" s="561"/>
      <c r="N856" s="545"/>
      <c r="O856" s="545"/>
    </row>
    <row r="857" spans="3:15">
      <c r="C857" s="537">
        <f>IF(D809="","-",+C856+1)</f>
        <v>2059</v>
      </c>
      <c r="D857" s="495">
        <f t="shared" si="48"/>
        <v>0</v>
      </c>
      <c r="E857" s="538">
        <f t="shared" si="53"/>
        <v>0</v>
      </c>
      <c r="F857" s="495">
        <f t="shared" si="49"/>
        <v>0</v>
      </c>
      <c r="G857" s="543">
        <f t="shared" si="50"/>
        <v>0</v>
      </c>
      <c r="H857" s="544">
        <f t="shared" si="51"/>
        <v>0</v>
      </c>
      <c r="I857" s="541">
        <f t="shared" si="52"/>
        <v>0</v>
      </c>
      <c r="J857" s="541"/>
      <c r="K857" s="561"/>
      <c r="L857" s="545"/>
      <c r="M857" s="561"/>
      <c r="N857" s="545"/>
      <c r="O857" s="545"/>
    </row>
    <row r="858" spans="3:15">
      <c r="C858" s="537">
        <f>IF(D809="","-",+C857+1)</f>
        <v>2060</v>
      </c>
      <c r="D858" s="495">
        <f t="shared" si="48"/>
        <v>0</v>
      </c>
      <c r="E858" s="538">
        <f t="shared" si="53"/>
        <v>0</v>
      </c>
      <c r="F858" s="495">
        <f t="shared" si="49"/>
        <v>0</v>
      </c>
      <c r="G858" s="543">
        <f t="shared" si="50"/>
        <v>0</v>
      </c>
      <c r="H858" s="544">
        <f t="shared" si="51"/>
        <v>0</v>
      </c>
      <c r="I858" s="541">
        <f t="shared" si="52"/>
        <v>0</v>
      </c>
      <c r="J858" s="541"/>
      <c r="K858" s="561"/>
      <c r="L858" s="545"/>
      <c r="M858" s="561"/>
      <c r="N858" s="545"/>
      <c r="O858" s="545"/>
    </row>
    <row r="859" spans="3:15">
      <c r="C859" s="537">
        <f>IF(D809="","-",+C858+1)</f>
        <v>2061</v>
      </c>
      <c r="D859" s="495">
        <f t="shared" si="48"/>
        <v>0</v>
      </c>
      <c r="E859" s="538">
        <f t="shared" si="53"/>
        <v>0</v>
      </c>
      <c r="F859" s="495">
        <f t="shared" si="49"/>
        <v>0</v>
      </c>
      <c r="G859" s="543">
        <f t="shared" si="50"/>
        <v>0</v>
      </c>
      <c r="H859" s="544">
        <f t="shared" si="51"/>
        <v>0</v>
      </c>
      <c r="I859" s="541">
        <f t="shared" si="52"/>
        <v>0</v>
      </c>
      <c r="J859" s="541"/>
      <c r="K859" s="561"/>
      <c r="L859" s="545"/>
      <c r="M859" s="561"/>
      <c r="N859" s="545"/>
      <c r="O859" s="545"/>
    </row>
    <row r="860" spans="3:15">
      <c r="C860" s="537">
        <f>IF(D809="","-",+C859+1)</f>
        <v>2062</v>
      </c>
      <c r="D860" s="495">
        <f t="shared" si="48"/>
        <v>0</v>
      </c>
      <c r="E860" s="538">
        <f t="shared" si="53"/>
        <v>0</v>
      </c>
      <c r="F860" s="495">
        <f t="shared" si="49"/>
        <v>0</v>
      </c>
      <c r="G860" s="543">
        <f t="shared" si="50"/>
        <v>0</v>
      </c>
      <c r="H860" s="544">
        <f t="shared" si="51"/>
        <v>0</v>
      </c>
      <c r="I860" s="541">
        <f t="shared" si="52"/>
        <v>0</v>
      </c>
      <c r="J860" s="541"/>
      <c r="K860" s="561"/>
      <c r="L860" s="545"/>
      <c r="M860" s="561"/>
      <c r="N860" s="545"/>
      <c r="O860" s="545"/>
    </row>
    <row r="861" spans="3:15">
      <c r="C861" s="537">
        <f>IF(D809="","-",+C860+1)</f>
        <v>2063</v>
      </c>
      <c r="D861" s="495">
        <f t="shared" si="48"/>
        <v>0</v>
      </c>
      <c r="E861" s="538">
        <f t="shared" si="53"/>
        <v>0</v>
      </c>
      <c r="F861" s="495">
        <f t="shared" si="49"/>
        <v>0</v>
      </c>
      <c r="G861" s="543">
        <f t="shared" si="50"/>
        <v>0</v>
      </c>
      <c r="H861" s="544">
        <f t="shared" si="51"/>
        <v>0</v>
      </c>
      <c r="I861" s="541">
        <f t="shared" si="52"/>
        <v>0</v>
      </c>
      <c r="J861" s="541"/>
      <c r="K861" s="561"/>
      <c r="L861" s="545"/>
      <c r="M861" s="561"/>
      <c r="N861" s="545"/>
      <c r="O861" s="545"/>
    </row>
    <row r="862" spans="3:15">
      <c r="C862" s="537">
        <f>IF(D809="","-",+C861+1)</f>
        <v>2064</v>
      </c>
      <c r="D862" s="495">
        <f t="shared" si="48"/>
        <v>0</v>
      </c>
      <c r="E862" s="538">
        <f t="shared" si="53"/>
        <v>0</v>
      </c>
      <c r="F862" s="495">
        <f t="shared" si="49"/>
        <v>0</v>
      </c>
      <c r="G862" s="543">
        <f t="shared" si="50"/>
        <v>0</v>
      </c>
      <c r="H862" s="544">
        <f t="shared" si="51"/>
        <v>0</v>
      </c>
      <c r="I862" s="541">
        <f t="shared" si="52"/>
        <v>0</v>
      </c>
      <c r="J862" s="541"/>
      <c r="K862" s="561"/>
      <c r="L862" s="545"/>
      <c r="M862" s="561"/>
      <c r="N862" s="545"/>
      <c r="O862" s="545"/>
    </row>
    <row r="863" spans="3:15">
      <c r="C863" s="537">
        <f>IF(D809="","-",+C862+1)</f>
        <v>2065</v>
      </c>
      <c r="D863" s="495">
        <f t="shared" si="48"/>
        <v>0</v>
      </c>
      <c r="E863" s="538">
        <f t="shared" si="53"/>
        <v>0</v>
      </c>
      <c r="F863" s="495">
        <f t="shared" si="49"/>
        <v>0</v>
      </c>
      <c r="G863" s="543">
        <f t="shared" si="50"/>
        <v>0</v>
      </c>
      <c r="H863" s="544">
        <f t="shared" si="51"/>
        <v>0</v>
      </c>
      <c r="I863" s="541">
        <f t="shared" si="52"/>
        <v>0</v>
      </c>
      <c r="J863" s="541"/>
      <c r="K863" s="561"/>
      <c r="L863" s="545"/>
      <c r="M863" s="561"/>
      <c r="N863" s="545"/>
      <c r="O863" s="545"/>
    </row>
    <row r="864" spans="3:15">
      <c r="C864" s="537">
        <f>IF(D809="","-",+C863+1)</f>
        <v>2066</v>
      </c>
      <c r="D864" s="495">
        <f t="shared" si="48"/>
        <v>0</v>
      </c>
      <c r="E864" s="538">
        <f t="shared" si="53"/>
        <v>0</v>
      </c>
      <c r="F864" s="495">
        <f t="shared" si="49"/>
        <v>0</v>
      </c>
      <c r="G864" s="543">
        <f t="shared" si="50"/>
        <v>0</v>
      </c>
      <c r="H864" s="544">
        <f t="shared" si="51"/>
        <v>0</v>
      </c>
      <c r="I864" s="541">
        <f t="shared" si="52"/>
        <v>0</v>
      </c>
      <c r="J864" s="541"/>
      <c r="K864" s="561"/>
      <c r="L864" s="545"/>
      <c r="M864" s="561"/>
      <c r="N864" s="545"/>
      <c r="O864" s="545"/>
    </row>
    <row r="865" spans="3:15">
      <c r="C865" s="537">
        <f>IF(D809="","-",+C864+1)</f>
        <v>2067</v>
      </c>
      <c r="D865" s="495">
        <f t="shared" si="48"/>
        <v>0</v>
      </c>
      <c r="E865" s="538">
        <f t="shared" si="53"/>
        <v>0</v>
      </c>
      <c r="F865" s="495">
        <f t="shared" si="49"/>
        <v>0</v>
      </c>
      <c r="G865" s="543">
        <f t="shared" si="50"/>
        <v>0</v>
      </c>
      <c r="H865" s="544">
        <f t="shared" si="51"/>
        <v>0</v>
      </c>
      <c r="I865" s="541">
        <f t="shared" si="52"/>
        <v>0</v>
      </c>
      <c r="J865" s="541"/>
      <c r="K865" s="561"/>
      <c r="L865" s="545"/>
      <c r="M865" s="561"/>
      <c r="N865" s="545"/>
      <c r="O865" s="545"/>
    </row>
    <row r="866" spans="3:15">
      <c r="C866" s="537">
        <f>IF(D809="","-",+C865+1)</f>
        <v>2068</v>
      </c>
      <c r="D866" s="495">
        <f t="shared" si="48"/>
        <v>0</v>
      </c>
      <c r="E866" s="538">
        <f t="shared" si="53"/>
        <v>0</v>
      </c>
      <c r="F866" s="495">
        <f t="shared" si="49"/>
        <v>0</v>
      </c>
      <c r="G866" s="543">
        <f t="shared" si="50"/>
        <v>0</v>
      </c>
      <c r="H866" s="544">
        <f t="shared" si="51"/>
        <v>0</v>
      </c>
      <c r="I866" s="541">
        <f t="shared" si="52"/>
        <v>0</v>
      </c>
      <c r="J866" s="541"/>
      <c r="K866" s="561"/>
      <c r="L866" s="545"/>
      <c r="M866" s="561"/>
      <c r="N866" s="545"/>
      <c r="O866" s="545"/>
    </row>
    <row r="867" spans="3:15">
      <c r="C867" s="537">
        <f>IF(D809="","-",+C866+1)</f>
        <v>2069</v>
      </c>
      <c r="D867" s="495">
        <f t="shared" si="48"/>
        <v>0</v>
      </c>
      <c r="E867" s="538">
        <f t="shared" si="53"/>
        <v>0</v>
      </c>
      <c r="F867" s="495">
        <f t="shared" si="49"/>
        <v>0</v>
      </c>
      <c r="G867" s="543">
        <f t="shared" si="50"/>
        <v>0</v>
      </c>
      <c r="H867" s="544">
        <f t="shared" si="51"/>
        <v>0</v>
      </c>
      <c r="I867" s="541">
        <f t="shared" si="52"/>
        <v>0</v>
      </c>
      <c r="J867" s="541"/>
      <c r="K867" s="561"/>
      <c r="L867" s="545"/>
      <c r="M867" s="561"/>
      <c r="N867" s="545"/>
      <c r="O867" s="545"/>
    </row>
    <row r="868" spans="3:15">
      <c r="C868" s="537">
        <f>IF(D809="","-",+C867+1)</f>
        <v>2070</v>
      </c>
      <c r="D868" s="495">
        <f t="shared" si="48"/>
        <v>0</v>
      </c>
      <c r="E868" s="538">
        <f t="shared" si="53"/>
        <v>0</v>
      </c>
      <c r="F868" s="495">
        <f t="shared" si="49"/>
        <v>0</v>
      </c>
      <c r="G868" s="543">
        <f t="shared" si="50"/>
        <v>0</v>
      </c>
      <c r="H868" s="544">
        <f t="shared" si="51"/>
        <v>0</v>
      </c>
      <c r="I868" s="541">
        <f t="shared" si="52"/>
        <v>0</v>
      </c>
      <c r="J868" s="541"/>
      <c r="K868" s="561"/>
      <c r="L868" s="545"/>
      <c r="M868" s="561"/>
      <c r="N868" s="545"/>
      <c r="O868" s="545"/>
    </row>
    <row r="869" spans="3:15">
      <c r="C869" s="537">
        <f>IF(D809="","-",+C868+1)</f>
        <v>2071</v>
      </c>
      <c r="D869" s="495">
        <f t="shared" si="48"/>
        <v>0</v>
      </c>
      <c r="E869" s="538">
        <f t="shared" si="53"/>
        <v>0</v>
      </c>
      <c r="F869" s="495">
        <f t="shared" si="49"/>
        <v>0</v>
      </c>
      <c r="G869" s="543">
        <f t="shared" si="50"/>
        <v>0</v>
      </c>
      <c r="H869" s="544">
        <f t="shared" si="51"/>
        <v>0</v>
      </c>
      <c r="I869" s="541">
        <f t="shared" si="52"/>
        <v>0</v>
      </c>
      <c r="J869" s="541"/>
      <c r="K869" s="561"/>
      <c r="L869" s="545"/>
      <c r="M869" s="561"/>
      <c r="N869" s="545"/>
      <c r="O869" s="545"/>
    </row>
    <row r="870" spans="3:15">
      <c r="C870" s="537">
        <f>IF(D809="","-",+C869+1)</f>
        <v>2072</v>
      </c>
      <c r="D870" s="495">
        <f t="shared" si="48"/>
        <v>0</v>
      </c>
      <c r="E870" s="538">
        <f t="shared" si="53"/>
        <v>0</v>
      </c>
      <c r="F870" s="495">
        <f t="shared" si="49"/>
        <v>0</v>
      </c>
      <c r="G870" s="543">
        <f t="shared" si="50"/>
        <v>0</v>
      </c>
      <c r="H870" s="544">
        <f t="shared" si="51"/>
        <v>0</v>
      </c>
      <c r="I870" s="541">
        <f t="shared" si="52"/>
        <v>0</v>
      </c>
      <c r="J870" s="541"/>
      <c r="K870" s="561"/>
      <c r="L870" s="545"/>
      <c r="M870" s="561"/>
      <c r="N870" s="545"/>
      <c r="O870" s="545"/>
    </row>
    <row r="871" spans="3:15">
      <c r="C871" s="537">
        <f>IF(D809="","-",+C870+1)</f>
        <v>2073</v>
      </c>
      <c r="D871" s="495">
        <f t="shared" si="48"/>
        <v>0</v>
      </c>
      <c r="E871" s="538">
        <f t="shared" si="53"/>
        <v>0</v>
      </c>
      <c r="F871" s="495">
        <f t="shared" si="49"/>
        <v>0</v>
      </c>
      <c r="G871" s="543">
        <f t="shared" si="50"/>
        <v>0</v>
      </c>
      <c r="H871" s="544">
        <f t="shared" si="51"/>
        <v>0</v>
      </c>
      <c r="I871" s="541">
        <f t="shared" si="52"/>
        <v>0</v>
      </c>
      <c r="J871" s="541"/>
      <c r="K871" s="561"/>
      <c r="L871" s="545"/>
      <c r="M871" s="561"/>
      <c r="N871" s="545"/>
      <c r="O871" s="545"/>
    </row>
    <row r="872" spans="3:15">
      <c r="C872" s="537">
        <f>IF(D809="","-",+C871+1)</f>
        <v>2074</v>
      </c>
      <c r="D872" s="495">
        <f t="shared" si="48"/>
        <v>0</v>
      </c>
      <c r="E872" s="538">
        <f t="shared" si="53"/>
        <v>0</v>
      </c>
      <c r="F872" s="495">
        <f t="shared" si="49"/>
        <v>0</v>
      </c>
      <c r="G872" s="543">
        <f t="shared" si="50"/>
        <v>0</v>
      </c>
      <c r="H872" s="544">
        <f t="shared" si="51"/>
        <v>0</v>
      </c>
      <c r="I872" s="541">
        <f t="shared" si="52"/>
        <v>0</v>
      </c>
      <c r="J872" s="541"/>
      <c r="K872" s="561"/>
      <c r="L872" s="545"/>
      <c r="M872" s="561"/>
      <c r="N872" s="545"/>
      <c r="O872" s="545"/>
    </row>
    <row r="873" spans="3:15">
      <c r="C873" s="537">
        <f>IF(D809="","-",+C872+1)</f>
        <v>2075</v>
      </c>
      <c r="D873" s="495">
        <f t="shared" si="48"/>
        <v>0</v>
      </c>
      <c r="E873" s="538">
        <f t="shared" si="53"/>
        <v>0</v>
      </c>
      <c r="F873" s="495">
        <f t="shared" si="49"/>
        <v>0</v>
      </c>
      <c r="G873" s="543">
        <f t="shared" si="50"/>
        <v>0</v>
      </c>
      <c r="H873" s="544">
        <f t="shared" si="51"/>
        <v>0</v>
      </c>
      <c r="I873" s="541">
        <f t="shared" si="52"/>
        <v>0</v>
      </c>
      <c r="J873" s="541"/>
      <c r="K873" s="561"/>
      <c r="L873" s="545"/>
      <c r="M873" s="561"/>
      <c r="N873" s="545"/>
      <c r="O873" s="545"/>
    </row>
    <row r="874" spans="3:15" ht="13.5" thickBot="1">
      <c r="C874" s="547">
        <f>IF(D809="","-",+C873+1)</f>
        <v>2076</v>
      </c>
      <c r="D874" s="548">
        <f t="shared" si="48"/>
        <v>0</v>
      </c>
      <c r="E874" s="549">
        <f t="shared" si="53"/>
        <v>0</v>
      </c>
      <c r="F874" s="548">
        <f t="shared" si="49"/>
        <v>0</v>
      </c>
      <c r="G874" s="550">
        <f t="shared" si="50"/>
        <v>0</v>
      </c>
      <c r="H874" s="550">
        <f t="shared" si="51"/>
        <v>0</v>
      </c>
      <c r="I874" s="551">
        <f t="shared" si="52"/>
        <v>0</v>
      </c>
      <c r="J874" s="541"/>
      <c r="K874" s="562"/>
      <c r="L874" s="552"/>
      <c r="M874" s="562"/>
      <c r="N874" s="552"/>
      <c r="O874" s="552"/>
    </row>
    <row r="875" spans="3:15">
      <c r="C875" s="495" t="s">
        <v>91</v>
      </c>
      <c r="D875" s="492"/>
      <c r="E875" s="492">
        <f>SUM(E815:E874)</f>
        <v>32382268.41</v>
      </c>
      <c r="F875" s="492"/>
      <c r="G875" s="492">
        <f>SUM(G815:G874)</f>
        <v>100030615.36709219</v>
      </c>
      <c r="H875" s="492">
        <f>SUM(H815:H874)</f>
        <v>100030615.36709219</v>
      </c>
      <c r="I875" s="492">
        <f>SUM(I815:I874)</f>
        <v>0</v>
      </c>
      <c r="J875" s="492"/>
      <c r="K875" s="492"/>
      <c r="L875" s="492"/>
      <c r="M875" s="492"/>
      <c r="N875" s="492"/>
      <c r="O875" s="3"/>
    </row>
    <row r="876" spans="3:15">
      <c r="D876" s="47"/>
      <c r="E876" s="3"/>
      <c r="F876" s="3"/>
      <c r="G876" s="3"/>
      <c r="H876" s="479"/>
      <c r="I876" s="479"/>
      <c r="J876" s="492"/>
      <c r="K876" s="479"/>
      <c r="L876" s="479"/>
      <c r="M876" s="479"/>
      <c r="N876" s="479"/>
      <c r="O876" s="3"/>
    </row>
    <row r="877" spans="3:15">
      <c r="C877" s="3" t="s">
        <v>13</v>
      </c>
      <c r="D877" s="47"/>
      <c r="E877" s="3"/>
      <c r="F877" s="3"/>
      <c r="G877" s="3"/>
      <c r="H877" s="479"/>
      <c r="I877" s="479"/>
      <c r="J877" s="492"/>
      <c r="K877" s="479"/>
      <c r="L877" s="479"/>
      <c r="M877" s="479"/>
      <c r="N877" s="479"/>
      <c r="O877" s="3"/>
    </row>
    <row r="878" spans="3:15">
      <c r="C878" s="3"/>
      <c r="D878" s="47"/>
      <c r="E878" s="3"/>
      <c r="F878" s="3"/>
      <c r="G878" s="3"/>
      <c r="H878" s="479"/>
      <c r="I878" s="479"/>
      <c r="J878" s="492"/>
      <c r="K878" s="479"/>
      <c r="L878" s="479"/>
      <c r="M878" s="479"/>
      <c r="N878" s="479"/>
      <c r="O878" s="3"/>
    </row>
    <row r="879" spans="3:15">
      <c r="C879" s="507" t="s">
        <v>14</v>
      </c>
      <c r="D879" s="495"/>
      <c r="E879" s="495"/>
      <c r="F879" s="495"/>
      <c r="G879" s="492"/>
      <c r="H879" s="492"/>
      <c r="I879" s="553"/>
      <c r="J879" s="553"/>
      <c r="K879" s="553"/>
      <c r="L879" s="553"/>
      <c r="M879" s="553"/>
      <c r="N879" s="553"/>
      <c r="O879" s="3"/>
    </row>
    <row r="880" spans="3:15">
      <c r="C880" s="496" t="s">
        <v>271</v>
      </c>
      <c r="D880" s="495"/>
      <c r="E880" s="495"/>
      <c r="F880" s="495"/>
      <c r="G880" s="492"/>
      <c r="H880" s="492"/>
      <c r="I880" s="553"/>
      <c r="J880" s="553"/>
      <c r="K880" s="553"/>
      <c r="L880" s="553"/>
      <c r="M880" s="553"/>
      <c r="N880" s="553"/>
      <c r="O880" s="3"/>
    </row>
    <row r="881" spans="1:16">
      <c r="C881" s="496" t="s">
        <v>92</v>
      </c>
      <c r="D881" s="495"/>
      <c r="E881" s="495"/>
      <c r="F881" s="495"/>
      <c r="G881" s="492"/>
      <c r="H881" s="492"/>
      <c r="I881" s="553"/>
      <c r="J881" s="553"/>
      <c r="K881" s="553"/>
      <c r="L881" s="553"/>
      <c r="M881" s="553"/>
      <c r="N881" s="553"/>
      <c r="O881" s="3"/>
    </row>
    <row r="882" spans="1:16">
      <c r="C882" s="496"/>
      <c r="D882" s="495"/>
      <c r="E882" s="495"/>
      <c r="F882" s="495"/>
      <c r="G882" s="492"/>
      <c r="H882" s="492"/>
      <c r="I882" s="553"/>
      <c r="J882" s="553"/>
      <c r="K882" s="553"/>
      <c r="L882" s="553"/>
      <c r="M882" s="553"/>
      <c r="N882" s="553"/>
      <c r="O882" s="3"/>
    </row>
    <row r="883" spans="1:16">
      <c r="C883" s="1185" t="s">
        <v>6</v>
      </c>
      <c r="D883" s="1185"/>
      <c r="E883" s="1185"/>
      <c r="F883" s="1185"/>
      <c r="G883" s="1185"/>
      <c r="H883" s="1185"/>
      <c r="I883" s="1185"/>
      <c r="J883" s="1185"/>
      <c r="K883" s="1185"/>
      <c r="L883" s="1185"/>
      <c r="M883" s="1185"/>
      <c r="N883" s="1185"/>
      <c r="O883" s="1185"/>
    </row>
    <row r="884" spans="1:16">
      <c r="C884" s="1185"/>
      <c r="D884" s="1185"/>
      <c r="E884" s="1185"/>
      <c r="F884" s="1185"/>
      <c r="G884" s="1185"/>
      <c r="H884" s="1185"/>
      <c r="I884" s="1185"/>
      <c r="J884" s="1185"/>
      <c r="K884" s="1185"/>
      <c r="L884" s="1185"/>
      <c r="M884" s="1185"/>
      <c r="N884" s="1185"/>
      <c r="O884" s="1185"/>
    </row>
    <row r="887" spans="1:16" ht="20.25">
      <c r="A887" s="436" t="str">
        <f>""&amp;A811&amp;" Worksheet J -  ATRR PROJECTED Calculation for PJM Projects Charged to Benefiting Zones"</f>
        <v xml:space="preserve"> Worksheet J -  ATRR PROJECTED Calculation for PJM Projects Charged to Benefiting Zones</v>
      </c>
      <c r="B887" s="3"/>
      <c r="C887" s="3"/>
      <c r="D887" s="47"/>
      <c r="E887" s="3"/>
      <c r="F887" s="478"/>
      <c r="G887" s="3"/>
      <c r="H887" s="479"/>
      <c r="K887" s="387"/>
      <c r="L887" s="387"/>
      <c r="M887" s="387"/>
      <c r="N887" s="387" t="str">
        <f>"Page "&amp;SUM(P$8:P887)&amp;" of "</f>
        <v xml:space="preserve">Page 11 of </v>
      </c>
      <c r="O887" s="437">
        <f>COUNT(P$8:P$56562)</f>
        <v>12</v>
      </c>
      <c r="P887">
        <v>1</v>
      </c>
    </row>
    <row r="888" spans="1:16" ht="20.25">
      <c r="A888" s="436"/>
      <c r="B888" s="3"/>
      <c r="C888" s="3"/>
      <c r="D888" s="47"/>
      <c r="E888" s="3"/>
      <c r="F888" s="478"/>
      <c r="G888" s="3"/>
      <c r="H888" s="479"/>
      <c r="K888" s="387"/>
      <c r="L888" s="387"/>
      <c r="M888" s="387"/>
      <c r="N888" s="387"/>
      <c r="O888" s="437"/>
    </row>
    <row r="889" spans="1:16" ht="18">
      <c r="B889" s="438" t="s">
        <v>472</v>
      </c>
      <c r="C889" s="119" t="s">
        <v>93</v>
      </c>
      <c r="D889" s="47"/>
      <c r="E889" s="3"/>
      <c r="F889" s="3"/>
      <c r="G889" s="3"/>
      <c r="H889" s="479"/>
      <c r="I889" s="479"/>
      <c r="J889" s="492"/>
      <c r="K889" s="479"/>
      <c r="L889" s="479"/>
      <c r="M889" s="479"/>
      <c r="N889" s="479"/>
      <c r="O889" s="3"/>
    </row>
    <row r="890" spans="1:16" ht="18.75">
      <c r="B890" s="438"/>
      <c r="C890" s="6"/>
      <c r="D890" s="47"/>
      <c r="E890" s="3"/>
      <c r="F890" s="3"/>
      <c r="G890" s="3"/>
      <c r="H890" s="479"/>
      <c r="I890" s="479"/>
      <c r="J890" s="492"/>
      <c r="K890" s="479"/>
      <c r="L890" s="479"/>
      <c r="M890" s="479"/>
      <c r="N890" s="479"/>
      <c r="O890" s="3"/>
    </row>
    <row r="891" spans="1:16" ht="18.75">
      <c r="B891" s="438"/>
      <c r="C891" s="6" t="s">
        <v>94</v>
      </c>
      <c r="D891" s="47"/>
      <c r="E891" s="3"/>
      <c r="F891" s="3"/>
      <c r="G891" s="3"/>
      <c r="H891" s="479"/>
      <c r="I891" s="479"/>
      <c r="J891" s="492"/>
      <c r="K891" s="479"/>
      <c r="L891" s="479"/>
      <c r="M891" s="479"/>
      <c r="N891" s="479"/>
      <c r="O891" s="3"/>
    </row>
    <row r="892" spans="1:16" ht="15.75" thickBot="1">
      <c r="C892" s="128"/>
      <c r="D892" s="47"/>
      <c r="E892" s="3"/>
      <c r="F892" s="3"/>
      <c r="G892" s="3"/>
      <c r="H892" s="479"/>
      <c r="I892" s="479"/>
      <c r="J892" s="492"/>
      <c r="K892" s="479"/>
      <c r="L892" s="479"/>
      <c r="M892" s="479"/>
      <c r="N892" s="479"/>
      <c r="O892" s="3"/>
    </row>
    <row r="893" spans="1:16" ht="15.75">
      <c r="C893" s="440" t="s">
        <v>95</v>
      </c>
      <c r="D893" s="47"/>
      <c r="E893" s="3"/>
      <c r="F893" s="3"/>
      <c r="G893" s="555"/>
      <c r="H893" s="3" t="s">
        <v>74</v>
      </c>
      <c r="I893" s="3"/>
      <c r="J893" s="3"/>
      <c r="K893" s="498" t="s">
        <v>99</v>
      </c>
      <c r="L893" s="499"/>
      <c r="M893" s="500"/>
      <c r="N893" s="501">
        <f>IF(I899=0,0,VLOOKUP(I899,C906:O965,5))</f>
        <v>915255.07901388523</v>
      </c>
      <c r="O893" s="3"/>
    </row>
    <row r="894" spans="1:16" ht="15.75">
      <c r="C894" s="440"/>
      <c r="D894" s="47"/>
      <c r="E894" s="3"/>
      <c r="F894" s="3"/>
      <c r="G894" s="3"/>
      <c r="H894" s="502"/>
      <c r="I894" s="502"/>
      <c r="J894" s="503"/>
      <c r="K894" s="504" t="s">
        <v>100</v>
      </c>
      <c r="L894" s="505"/>
      <c r="M894" s="3"/>
      <c r="N894" s="506">
        <f>IF(I899=0,0,VLOOKUP(I899,C906:O965,6))</f>
        <v>915255.07901388523</v>
      </c>
      <c r="O894" s="3"/>
    </row>
    <row r="895" spans="1:16" ht="13.5" thickBot="1">
      <c r="C895" s="507" t="s">
        <v>96</v>
      </c>
      <c r="D895" s="1196" t="s">
        <v>827</v>
      </c>
      <c r="E895" s="1196"/>
      <c r="F895" s="1196"/>
      <c r="G895" s="1196"/>
      <c r="H895" s="1196"/>
      <c r="I895" s="1196"/>
      <c r="J895" s="492"/>
      <c r="K895" s="508" t="s">
        <v>238</v>
      </c>
      <c r="L895" s="509"/>
      <c r="M895" s="509"/>
      <c r="N895" s="510">
        <f>+N894-N893</f>
        <v>0</v>
      </c>
      <c r="O895" s="3"/>
    </row>
    <row r="896" spans="1:16">
      <c r="C896" s="511"/>
      <c r="D896" s="1196"/>
      <c r="E896" s="1196"/>
      <c r="F896" s="1196"/>
      <c r="G896" s="1196"/>
      <c r="H896" s="1196"/>
      <c r="I896" s="1196"/>
      <c r="J896" s="492"/>
      <c r="K896" s="479"/>
      <c r="L896" s="479"/>
      <c r="M896" s="479"/>
      <c r="N896" s="479"/>
      <c r="O896" s="3"/>
    </row>
    <row r="897" spans="2:15" ht="13.5" thickBot="1">
      <c r="C897" s="511"/>
      <c r="D897" s="3"/>
      <c r="E897" s="513"/>
      <c r="F897" s="513"/>
      <c r="G897" s="513"/>
      <c r="H897" s="513"/>
      <c r="I897" s="513"/>
      <c r="J897" s="513"/>
      <c r="K897" s="513"/>
      <c r="L897" s="513"/>
      <c r="M897" s="513"/>
      <c r="N897" s="513"/>
      <c r="O897" s="3"/>
    </row>
    <row r="898" spans="2:15" ht="13.5" thickBot="1">
      <c r="C898" s="514" t="s">
        <v>97</v>
      </c>
      <c r="D898" s="515"/>
      <c r="E898" s="515"/>
      <c r="F898" s="515"/>
      <c r="G898" s="515"/>
      <c r="H898" s="515"/>
      <c r="I898" s="516"/>
      <c r="K898" s="3"/>
      <c r="L898" s="3"/>
      <c r="M898" s="3"/>
      <c r="N898" s="3"/>
      <c r="O898" s="3"/>
    </row>
    <row r="899" spans="2:15" ht="15">
      <c r="C899" s="517" t="s">
        <v>75</v>
      </c>
      <c r="D899" s="936">
        <v>8427427.9900000002</v>
      </c>
      <c r="E899" s="3" t="s">
        <v>76</v>
      </c>
      <c r="G899" s="47"/>
      <c r="H899" s="47"/>
      <c r="I899" s="518">
        <f>$L$26</f>
        <v>2026</v>
      </c>
      <c r="J899" s="70"/>
      <c r="K899" s="1186" t="s">
        <v>247</v>
      </c>
      <c r="L899" s="1186"/>
      <c r="M899" s="1186"/>
      <c r="N899" s="1186"/>
      <c r="O899" s="1186"/>
    </row>
    <row r="900" spans="2:15">
      <c r="C900" s="517" t="s">
        <v>78</v>
      </c>
      <c r="D900" s="558">
        <v>2016</v>
      </c>
      <c r="E900" s="517" t="s">
        <v>79</v>
      </c>
      <c r="F900" s="47"/>
      <c r="H900"/>
      <c r="I900" s="559">
        <f>IF(G893="",0,$F$17)</f>
        <v>0</v>
      </c>
      <c r="J900" s="519"/>
      <c r="K900" s="492" t="s">
        <v>247</v>
      </c>
    </row>
    <row r="901" spans="2:15">
      <c r="C901" s="517" t="s">
        <v>80</v>
      </c>
      <c r="D901" s="937">
        <v>6</v>
      </c>
      <c r="E901" s="517" t="s">
        <v>81</v>
      </c>
      <c r="F901" s="47"/>
      <c r="H901"/>
      <c r="I901" s="520">
        <f>$G$70</f>
        <v>0.11191367266500543</v>
      </c>
      <c r="J901" s="478"/>
      <c r="K901" t="str">
        <f>"          INPUT PROJECTED ARR (WITH &amp; WITHOUT INCENTIVES) FROM EACH PRIOR YEAR"</f>
        <v xml:space="preserve">          INPUT PROJECTED ARR (WITH &amp; WITHOUT INCENTIVES) FROM EACH PRIOR YEAR</v>
      </c>
    </row>
    <row r="902" spans="2:15">
      <c r="C902" s="517" t="s">
        <v>82</v>
      </c>
      <c r="D902" s="521">
        <f>$G$79</f>
        <v>36</v>
      </c>
      <c r="E902" s="517" t="s">
        <v>83</v>
      </c>
      <c r="F902" s="47"/>
      <c r="H902"/>
      <c r="I902" s="520">
        <f>IF(G893="",I901,$G$69)</f>
        <v>0.11191367266500543</v>
      </c>
      <c r="J902" s="478"/>
      <c r="K902" t="s">
        <v>160</v>
      </c>
    </row>
    <row r="903" spans="2:15" ht="13.5" thickBot="1">
      <c r="C903" s="517" t="s">
        <v>84</v>
      </c>
      <c r="D903" s="556" t="s">
        <v>810</v>
      </c>
      <c r="E903" s="522" t="s">
        <v>85</v>
      </c>
      <c r="F903" s="523"/>
      <c r="G903" s="524"/>
      <c r="H903" s="524"/>
      <c r="I903" s="510">
        <f>IF(D899=0,0,D899/D902)</f>
        <v>234095.22194444446</v>
      </c>
      <c r="J903" s="492"/>
      <c r="K903" s="492" t="s">
        <v>166</v>
      </c>
      <c r="L903" s="492"/>
      <c r="M903" s="492"/>
      <c r="N903" s="492"/>
      <c r="O903" s="3"/>
    </row>
    <row r="904" spans="2:15" ht="51">
      <c r="B904" s="439"/>
      <c r="C904" s="525" t="s">
        <v>75</v>
      </c>
      <c r="D904" s="526" t="s">
        <v>86</v>
      </c>
      <c r="E904" s="527" t="s">
        <v>87</v>
      </c>
      <c r="F904" s="526" t="s">
        <v>88</v>
      </c>
      <c r="G904" s="527" t="s">
        <v>159</v>
      </c>
      <c r="H904" s="528" t="s">
        <v>159</v>
      </c>
      <c r="I904" s="525" t="s">
        <v>98</v>
      </c>
      <c r="J904" s="529"/>
      <c r="K904" s="527" t="s">
        <v>168</v>
      </c>
      <c r="L904" s="530"/>
      <c r="M904" s="527" t="s">
        <v>168</v>
      </c>
      <c r="N904" s="530"/>
      <c r="O904" s="530"/>
    </row>
    <row r="905" spans="2:15" ht="13.5" thickBot="1">
      <c r="C905" s="531" t="s">
        <v>475</v>
      </c>
      <c r="D905" s="532" t="s">
        <v>476</v>
      </c>
      <c r="E905" s="531" t="s">
        <v>369</v>
      </c>
      <c r="F905" s="532" t="s">
        <v>476</v>
      </c>
      <c r="G905" s="533" t="s">
        <v>101</v>
      </c>
      <c r="H905" s="534" t="s">
        <v>103</v>
      </c>
      <c r="I905" s="531" t="s">
        <v>15</v>
      </c>
      <c r="J905" s="535"/>
      <c r="K905" s="533" t="s">
        <v>90</v>
      </c>
      <c r="L905" s="536"/>
      <c r="M905" s="533" t="s">
        <v>103</v>
      </c>
      <c r="N905" s="536"/>
      <c r="O905" s="536"/>
    </row>
    <row r="906" spans="2:15">
      <c r="C906" s="537">
        <f>IF(D900= "","-",D900)</f>
        <v>2016</v>
      </c>
      <c r="D906" s="495">
        <f>+D899</f>
        <v>8427427.9900000002</v>
      </c>
      <c r="E906" s="538">
        <f>+I903/12*(12-D901)</f>
        <v>117047.61097222223</v>
      </c>
      <c r="F906" s="495">
        <f>+D906-E906</f>
        <v>8310380.3790277783</v>
      </c>
      <c r="G906" s="705">
        <f>+$I$96*((D906+F906)/2)+E906</f>
        <v>1053642.4144427038</v>
      </c>
      <c r="H906" s="706">
        <f>$I$97*((D906+F906)/2)+E906</f>
        <v>1053642.4144427038</v>
      </c>
      <c r="I906" s="541">
        <f>+H906-G906</f>
        <v>0</v>
      </c>
      <c r="J906" s="541"/>
      <c r="K906" s="560"/>
      <c r="L906" s="542"/>
      <c r="M906" s="560"/>
      <c r="N906" s="542"/>
      <c r="O906" s="542"/>
    </row>
    <row r="907" spans="2:15">
      <c r="C907" s="943">
        <f>IF(D900="","-",+C906+1)</f>
        <v>2017</v>
      </c>
      <c r="D907" s="495">
        <f t="shared" ref="D907:D965" si="54">F906</f>
        <v>8310380.3790277783</v>
      </c>
      <c r="E907" s="538">
        <f>IF(D907&gt;$I$903,$I$903,D907)</f>
        <v>234095.22194444446</v>
      </c>
      <c r="F907" s="495">
        <f t="shared" ref="F907:F965" si="55">+D907-E907</f>
        <v>8076285.1570833335</v>
      </c>
      <c r="G907" s="543">
        <f t="shared" ref="G907:G965" si="56">+$I$96*((D907+F907)/2)+E907</f>
        <v>1151041.1833840767</v>
      </c>
      <c r="H907" s="544">
        <f t="shared" ref="H907:H965" si="57">$I$97*((D907+F907)/2)+E907</f>
        <v>1151041.1833840767</v>
      </c>
      <c r="I907" s="541">
        <f t="shared" ref="I907:I965" si="58">+H907-G907</f>
        <v>0</v>
      </c>
      <c r="J907" s="541"/>
      <c r="K907" s="561">
        <v>3283917</v>
      </c>
      <c r="L907" s="545"/>
      <c r="M907" s="561">
        <v>3283917</v>
      </c>
      <c r="N907" s="545"/>
      <c r="O907" s="545"/>
    </row>
    <row r="908" spans="2:15">
      <c r="C908" s="943">
        <f>IF(D900="","-",+C907+1)</f>
        <v>2018</v>
      </c>
      <c r="D908" s="495">
        <f t="shared" si="54"/>
        <v>8076285.1570833335</v>
      </c>
      <c r="E908" s="538">
        <f t="shared" ref="E908:E965" si="59">IF(D908&gt;$I$903,$I$903,D908)</f>
        <v>234095.22194444446</v>
      </c>
      <c r="F908" s="495">
        <f t="shared" si="55"/>
        <v>7842189.9351388887</v>
      </c>
      <c r="G908" s="543">
        <f t="shared" si="56"/>
        <v>1124842.7273429444</v>
      </c>
      <c r="H908" s="544">
        <f t="shared" si="57"/>
        <v>1124842.7273429444</v>
      </c>
      <c r="I908" s="541">
        <f t="shared" si="58"/>
        <v>0</v>
      </c>
      <c r="J908" s="541"/>
      <c r="K908" s="561">
        <v>3670194</v>
      </c>
      <c r="L908" s="545"/>
      <c r="M908" s="561">
        <v>3670194</v>
      </c>
      <c r="N908" s="545"/>
      <c r="O908" s="545"/>
    </row>
    <row r="909" spans="2:15">
      <c r="C909" s="943">
        <f>IF(D900="","-",+C908+1)</f>
        <v>2019</v>
      </c>
      <c r="D909" s="495">
        <f t="shared" si="54"/>
        <v>7842189.9351388887</v>
      </c>
      <c r="E909" s="538">
        <f t="shared" si="59"/>
        <v>234095.22194444446</v>
      </c>
      <c r="F909" s="495">
        <f t="shared" si="55"/>
        <v>7608094.7131944438</v>
      </c>
      <c r="G909" s="543">
        <f t="shared" si="56"/>
        <v>1098644.271301812</v>
      </c>
      <c r="H909" s="544">
        <f t="shared" si="57"/>
        <v>1098644.271301812</v>
      </c>
      <c r="I909" s="541">
        <f t="shared" si="58"/>
        <v>0</v>
      </c>
      <c r="J909" s="541"/>
      <c r="K909" s="561">
        <v>1008641.5212835469</v>
      </c>
      <c r="L909" s="545"/>
      <c r="M909" s="561">
        <v>1008641.5212835469</v>
      </c>
      <c r="N909" s="545"/>
      <c r="O909" s="545"/>
    </row>
    <row r="910" spans="2:15">
      <c r="C910" s="943">
        <f>IF(D900="","-",+C909+1)</f>
        <v>2020</v>
      </c>
      <c r="D910" s="495">
        <f t="shared" si="54"/>
        <v>7608094.7131944438</v>
      </c>
      <c r="E910" s="538">
        <f t="shared" si="59"/>
        <v>234095.22194444446</v>
      </c>
      <c r="F910" s="495">
        <f t="shared" si="55"/>
        <v>7373999.491249999</v>
      </c>
      <c r="G910" s="543">
        <f t="shared" si="56"/>
        <v>1072445.8152606795</v>
      </c>
      <c r="H910" s="544">
        <f t="shared" si="57"/>
        <v>1072445.8152606795</v>
      </c>
      <c r="I910" s="541">
        <f t="shared" si="58"/>
        <v>0</v>
      </c>
      <c r="J910" s="541"/>
      <c r="K910" s="561">
        <v>1042201.5959955344</v>
      </c>
      <c r="L910" s="545"/>
      <c r="M910" s="561">
        <v>1042201.5959955344</v>
      </c>
      <c r="N910" s="545"/>
      <c r="O910" s="545"/>
    </row>
    <row r="911" spans="2:15">
      <c r="C911" s="943">
        <f>IF(D900="","-",+C910+1)</f>
        <v>2021</v>
      </c>
      <c r="D911" s="495">
        <f t="shared" si="54"/>
        <v>7373999.491249999</v>
      </c>
      <c r="E911" s="538">
        <f t="shared" si="59"/>
        <v>234095.22194444446</v>
      </c>
      <c r="F911" s="495">
        <f t="shared" si="55"/>
        <v>7139904.2693055542</v>
      </c>
      <c r="G911" s="543">
        <f t="shared" si="56"/>
        <v>1046247.3592195472</v>
      </c>
      <c r="H911" s="544">
        <f t="shared" si="57"/>
        <v>1046247.3592195472</v>
      </c>
      <c r="I911" s="541">
        <f t="shared" si="58"/>
        <v>0</v>
      </c>
      <c r="J911" s="541"/>
      <c r="K911" s="561">
        <v>1014728.9243219129</v>
      </c>
      <c r="L911" s="545"/>
      <c r="M911" s="561">
        <v>1014728.9243219129</v>
      </c>
      <c r="N911" s="545"/>
      <c r="O911" s="545"/>
    </row>
    <row r="912" spans="2:15">
      <c r="C912" s="943">
        <f>IF(D900="","-",+C911+1)</f>
        <v>2022</v>
      </c>
      <c r="D912" s="495">
        <f t="shared" si="54"/>
        <v>7139904.2693055542</v>
      </c>
      <c r="E912" s="538">
        <f t="shared" si="59"/>
        <v>234095.22194444446</v>
      </c>
      <c r="F912" s="495">
        <f t="shared" si="55"/>
        <v>6905809.0473611094</v>
      </c>
      <c r="G912" s="543">
        <f t="shared" si="56"/>
        <v>1020048.9031784148</v>
      </c>
      <c r="H912" s="544">
        <f t="shared" si="57"/>
        <v>1020048.9031784148</v>
      </c>
      <c r="I912" s="541">
        <f t="shared" si="58"/>
        <v>0</v>
      </c>
      <c r="J912" s="541"/>
      <c r="K912" s="561">
        <v>1034327.9321963114</v>
      </c>
      <c r="L912" s="545"/>
      <c r="M912" s="561">
        <v>1034327.9321963114</v>
      </c>
      <c r="N912" s="545"/>
      <c r="O912" s="545"/>
    </row>
    <row r="913" spans="3:15">
      <c r="C913" s="537">
        <f>IF(D900="","-",+C912+1)</f>
        <v>2023</v>
      </c>
      <c r="D913" s="495">
        <f t="shared" si="54"/>
        <v>6905809.0473611094</v>
      </c>
      <c r="E913" s="538">
        <f t="shared" si="59"/>
        <v>234095.22194444446</v>
      </c>
      <c r="F913" s="495">
        <f t="shared" si="55"/>
        <v>6671713.8254166646</v>
      </c>
      <c r="G913" s="543">
        <f t="shared" si="56"/>
        <v>993850.44713728246</v>
      </c>
      <c r="H913" s="544">
        <f t="shared" si="57"/>
        <v>993850.44713728246</v>
      </c>
      <c r="I913" s="541">
        <f t="shared" si="58"/>
        <v>0</v>
      </c>
      <c r="J913" s="541"/>
      <c r="K913" s="561">
        <v>1007820.099343307</v>
      </c>
      <c r="L913" s="545"/>
      <c r="M913" s="561">
        <v>1007820.099343307</v>
      </c>
      <c r="N913" s="545"/>
      <c r="O913" s="545"/>
    </row>
    <row r="914" spans="3:15">
      <c r="C914" s="537">
        <f>IF(D900="","-",+C913+1)</f>
        <v>2024</v>
      </c>
      <c r="D914" s="495">
        <f t="shared" si="54"/>
        <v>6671713.8254166646</v>
      </c>
      <c r="E914" s="538">
        <f t="shared" si="59"/>
        <v>234095.22194444446</v>
      </c>
      <c r="F914" s="495">
        <f t="shared" si="55"/>
        <v>6437618.6034722198</v>
      </c>
      <c r="G914" s="543">
        <f t="shared" si="56"/>
        <v>967651.99109615001</v>
      </c>
      <c r="H914" s="544">
        <f t="shared" si="57"/>
        <v>967651.99109615001</v>
      </c>
      <c r="I914" s="541">
        <f t="shared" si="58"/>
        <v>0</v>
      </c>
      <c r="J914" s="541"/>
      <c r="K914" s="561">
        <v>977374.75329092308</v>
      </c>
      <c r="L914" s="545"/>
      <c r="M914" s="561">
        <v>977374.75329092308</v>
      </c>
      <c r="N914" s="545"/>
      <c r="O914" s="545"/>
    </row>
    <row r="915" spans="3:15">
      <c r="C915" s="537">
        <f>IF(D900="","-",+C914+1)</f>
        <v>2025</v>
      </c>
      <c r="D915" s="495">
        <f t="shared" si="54"/>
        <v>6437618.6034722198</v>
      </c>
      <c r="E915" s="538">
        <f t="shared" si="59"/>
        <v>234095.22194444446</v>
      </c>
      <c r="F915" s="495">
        <f t="shared" si="55"/>
        <v>6203523.381527775</v>
      </c>
      <c r="G915" s="543">
        <f t="shared" si="56"/>
        <v>941453.53505501768</v>
      </c>
      <c r="H915" s="544">
        <f t="shared" si="57"/>
        <v>941453.53505501768</v>
      </c>
      <c r="I915" s="541">
        <f t="shared" si="58"/>
        <v>0</v>
      </c>
      <c r="J915" s="541"/>
      <c r="K915" s="561">
        <v>960483.40935574681</v>
      </c>
      <c r="L915" s="545"/>
      <c r="M915" s="561">
        <v>960483.40935574681</v>
      </c>
      <c r="N915" s="545"/>
      <c r="O915" s="545"/>
    </row>
    <row r="916" spans="3:15">
      <c r="C916" s="935">
        <f>IF(D900="","-",+C915+1)</f>
        <v>2026</v>
      </c>
      <c r="D916" s="495">
        <f t="shared" si="54"/>
        <v>6203523.381527775</v>
      </c>
      <c r="E916" s="538">
        <f t="shared" si="59"/>
        <v>234095.22194444446</v>
      </c>
      <c r="F916" s="495">
        <f t="shared" si="55"/>
        <v>5969428.1595833302</v>
      </c>
      <c r="G916" s="543">
        <f t="shared" si="56"/>
        <v>915255.07901388523</v>
      </c>
      <c r="H916" s="544">
        <f t="shared" si="57"/>
        <v>915255.07901388523</v>
      </c>
      <c r="I916" s="541">
        <f t="shared" si="58"/>
        <v>0</v>
      </c>
      <c r="J916" s="541"/>
      <c r="K916" s="561"/>
      <c r="L916" s="545"/>
      <c r="M916" s="561"/>
      <c r="N916" s="545"/>
      <c r="O916" s="545"/>
    </row>
    <row r="917" spans="3:15">
      <c r="C917" s="537">
        <f>IF(D900="","-",+C916+1)</f>
        <v>2027</v>
      </c>
      <c r="D917" s="495">
        <f t="shared" si="54"/>
        <v>5969428.1595833302</v>
      </c>
      <c r="E917" s="538">
        <f t="shared" si="59"/>
        <v>234095.22194444446</v>
      </c>
      <c r="F917" s="495">
        <f t="shared" si="55"/>
        <v>5735332.9376388853</v>
      </c>
      <c r="G917" s="543">
        <f t="shared" si="56"/>
        <v>889056.6229727529</v>
      </c>
      <c r="H917" s="544">
        <f t="shared" si="57"/>
        <v>889056.6229727529</v>
      </c>
      <c r="I917" s="541">
        <f t="shared" si="58"/>
        <v>0</v>
      </c>
      <c r="J917" s="541"/>
      <c r="K917" s="561"/>
      <c r="L917" s="545"/>
      <c r="M917" s="561"/>
      <c r="N917" s="545"/>
      <c r="O917" s="545"/>
    </row>
    <row r="918" spans="3:15">
      <c r="C918" s="537">
        <f>IF(D900="","-",+C917+1)</f>
        <v>2028</v>
      </c>
      <c r="D918" s="495">
        <f t="shared" si="54"/>
        <v>5735332.9376388853</v>
      </c>
      <c r="E918" s="538">
        <f t="shared" si="59"/>
        <v>234095.22194444446</v>
      </c>
      <c r="F918" s="495">
        <f t="shared" si="55"/>
        <v>5501237.7156944405</v>
      </c>
      <c r="G918" s="543">
        <f t="shared" si="56"/>
        <v>862858.16693162045</v>
      </c>
      <c r="H918" s="544">
        <f t="shared" si="57"/>
        <v>862858.16693162045</v>
      </c>
      <c r="I918" s="541">
        <f t="shared" si="58"/>
        <v>0</v>
      </c>
      <c r="J918" s="541"/>
      <c r="K918" s="561"/>
      <c r="L918" s="545"/>
      <c r="M918" s="561"/>
      <c r="N918" s="546"/>
      <c r="O918" s="545"/>
    </row>
    <row r="919" spans="3:15">
      <c r="C919" s="537">
        <f>IF(D900="","-",+C918+1)</f>
        <v>2029</v>
      </c>
      <c r="D919" s="495">
        <f t="shared" si="54"/>
        <v>5501237.7156944405</v>
      </c>
      <c r="E919" s="538">
        <f t="shared" si="59"/>
        <v>234095.22194444446</v>
      </c>
      <c r="F919" s="495">
        <f t="shared" si="55"/>
        <v>5267142.4937499957</v>
      </c>
      <c r="G919" s="543">
        <f t="shared" si="56"/>
        <v>836659.71089048812</v>
      </c>
      <c r="H919" s="544">
        <f t="shared" si="57"/>
        <v>836659.71089048812</v>
      </c>
      <c r="I919" s="541">
        <f t="shared" si="58"/>
        <v>0</v>
      </c>
      <c r="J919" s="541"/>
      <c r="K919" s="561"/>
      <c r="L919" s="545"/>
      <c r="M919" s="561"/>
      <c r="N919" s="545"/>
      <c r="O919" s="545"/>
    </row>
    <row r="920" spans="3:15">
      <c r="C920" s="537">
        <f>IF(D900="","-",+C919+1)</f>
        <v>2030</v>
      </c>
      <c r="D920" s="495">
        <f t="shared" si="54"/>
        <v>5267142.4937499957</v>
      </c>
      <c r="E920" s="538">
        <f t="shared" si="59"/>
        <v>234095.22194444446</v>
      </c>
      <c r="F920" s="495">
        <f t="shared" si="55"/>
        <v>5033047.2718055509</v>
      </c>
      <c r="G920" s="543">
        <f t="shared" si="56"/>
        <v>810461.25484935567</v>
      </c>
      <c r="H920" s="544">
        <f t="shared" si="57"/>
        <v>810461.25484935567</v>
      </c>
      <c r="I920" s="541">
        <f t="shared" si="58"/>
        <v>0</v>
      </c>
      <c r="J920" s="541"/>
      <c r="K920" s="561"/>
      <c r="L920" s="545"/>
      <c r="M920" s="561"/>
      <c r="N920" s="545"/>
      <c r="O920" s="545"/>
    </row>
    <row r="921" spans="3:15">
      <c r="C921" s="537">
        <f>IF(D900="","-",+C920+1)</f>
        <v>2031</v>
      </c>
      <c r="D921" s="495">
        <f t="shared" si="54"/>
        <v>5033047.2718055509</v>
      </c>
      <c r="E921" s="538">
        <f t="shared" si="59"/>
        <v>234095.22194444446</v>
      </c>
      <c r="F921" s="495">
        <f t="shared" si="55"/>
        <v>4798952.0498611061</v>
      </c>
      <c r="G921" s="543">
        <f t="shared" si="56"/>
        <v>784262.79880822334</v>
      </c>
      <c r="H921" s="544">
        <f t="shared" si="57"/>
        <v>784262.79880822334</v>
      </c>
      <c r="I921" s="541">
        <f t="shared" si="58"/>
        <v>0</v>
      </c>
      <c r="J921" s="541"/>
      <c r="K921" s="561"/>
      <c r="L921" s="545"/>
      <c r="M921" s="561"/>
      <c r="N921" s="545"/>
      <c r="O921" s="545"/>
    </row>
    <row r="922" spans="3:15">
      <c r="C922" s="537">
        <f>IF(D900="","-",+C921+1)</f>
        <v>2032</v>
      </c>
      <c r="D922" s="495">
        <f t="shared" si="54"/>
        <v>4798952.0498611061</v>
      </c>
      <c r="E922" s="538">
        <f t="shared" si="59"/>
        <v>234095.22194444446</v>
      </c>
      <c r="F922" s="495">
        <f t="shared" si="55"/>
        <v>4564856.8279166613</v>
      </c>
      <c r="G922" s="543">
        <f t="shared" si="56"/>
        <v>758064.34276709089</v>
      </c>
      <c r="H922" s="544">
        <f t="shared" si="57"/>
        <v>758064.34276709089</v>
      </c>
      <c r="I922" s="541">
        <f t="shared" si="58"/>
        <v>0</v>
      </c>
      <c r="J922" s="541"/>
      <c r="K922" s="561"/>
      <c r="L922" s="545"/>
      <c r="M922" s="561"/>
      <c r="N922" s="545"/>
      <c r="O922" s="545"/>
    </row>
    <row r="923" spans="3:15">
      <c r="C923" s="537">
        <f>IF(D900="","-",+C922+1)</f>
        <v>2033</v>
      </c>
      <c r="D923" s="495">
        <f t="shared" si="54"/>
        <v>4564856.8279166613</v>
      </c>
      <c r="E923" s="538">
        <f t="shared" si="59"/>
        <v>234095.22194444446</v>
      </c>
      <c r="F923" s="495">
        <f t="shared" si="55"/>
        <v>4330761.6059722165</v>
      </c>
      <c r="G923" s="543">
        <f t="shared" si="56"/>
        <v>731865.88672595855</v>
      </c>
      <c r="H923" s="544">
        <f t="shared" si="57"/>
        <v>731865.88672595855</v>
      </c>
      <c r="I923" s="541">
        <f t="shared" si="58"/>
        <v>0</v>
      </c>
      <c r="J923" s="541"/>
      <c r="K923" s="561"/>
      <c r="L923" s="545"/>
      <c r="M923" s="561"/>
      <c r="N923" s="545"/>
      <c r="O923" s="545"/>
    </row>
    <row r="924" spans="3:15">
      <c r="C924" s="537">
        <f>IF(D900="","-",+C923+1)</f>
        <v>2034</v>
      </c>
      <c r="D924" s="495">
        <f t="shared" si="54"/>
        <v>4330761.6059722165</v>
      </c>
      <c r="E924" s="538">
        <f t="shared" si="59"/>
        <v>234095.22194444446</v>
      </c>
      <c r="F924" s="495">
        <f t="shared" si="55"/>
        <v>4096666.3840277721</v>
      </c>
      <c r="G924" s="543">
        <f t="shared" si="56"/>
        <v>705667.4306848261</v>
      </c>
      <c r="H924" s="544">
        <f t="shared" si="57"/>
        <v>705667.4306848261</v>
      </c>
      <c r="I924" s="541">
        <f t="shared" si="58"/>
        <v>0</v>
      </c>
      <c r="J924" s="541"/>
      <c r="K924" s="561"/>
      <c r="L924" s="545"/>
      <c r="M924" s="561"/>
      <c r="N924" s="545"/>
      <c r="O924" s="545"/>
    </row>
    <row r="925" spans="3:15">
      <c r="C925" s="537">
        <f>IF(D900="","-",+C924+1)</f>
        <v>2035</v>
      </c>
      <c r="D925" s="495">
        <f t="shared" si="54"/>
        <v>4096666.3840277721</v>
      </c>
      <c r="E925" s="538">
        <f t="shared" si="59"/>
        <v>234095.22194444446</v>
      </c>
      <c r="F925" s="495">
        <f t="shared" si="55"/>
        <v>3862571.1620833278</v>
      </c>
      <c r="G925" s="543">
        <f t="shared" si="56"/>
        <v>679468.97464369377</v>
      </c>
      <c r="H925" s="544">
        <f t="shared" si="57"/>
        <v>679468.97464369377</v>
      </c>
      <c r="I925" s="541">
        <f t="shared" si="58"/>
        <v>0</v>
      </c>
      <c r="J925" s="541"/>
      <c r="K925" s="561"/>
      <c r="L925" s="545"/>
      <c r="M925" s="561"/>
      <c r="N925" s="545"/>
      <c r="O925" s="545"/>
    </row>
    <row r="926" spans="3:15">
      <c r="C926" s="537">
        <f>IF(D900="","-",+C925+1)</f>
        <v>2036</v>
      </c>
      <c r="D926" s="495">
        <f t="shared" si="54"/>
        <v>3862571.1620833278</v>
      </c>
      <c r="E926" s="538">
        <f t="shared" si="59"/>
        <v>234095.22194444446</v>
      </c>
      <c r="F926" s="495">
        <f t="shared" si="55"/>
        <v>3628475.9401388834</v>
      </c>
      <c r="G926" s="543">
        <f t="shared" si="56"/>
        <v>653270.51860256144</v>
      </c>
      <c r="H926" s="544">
        <f t="shared" si="57"/>
        <v>653270.51860256144</v>
      </c>
      <c r="I926" s="541">
        <f t="shared" si="58"/>
        <v>0</v>
      </c>
      <c r="J926" s="541"/>
      <c r="K926" s="561"/>
      <c r="L926" s="545"/>
      <c r="M926" s="561"/>
      <c r="N926" s="545"/>
      <c r="O926" s="545"/>
    </row>
    <row r="927" spans="3:15">
      <c r="C927" s="537">
        <f>IF(D900="","-",+C926+1)</f>
        <v>2037</v>
      </c>
      <c r="D927" s="495">
        <f t="shared" si="54"/>
        <v>3628475.9401388834</v>
      </c>
      <c r="E927" s="538">
        <f t="shared" si="59"/>
        <v>234095.22194444446</v>
      </c>
      <c r="F927" s="495">
        <f t="shared" si="55"/>
        <v>3394380.7181944391</v>
      </c>
      <c r="G927" s="543">
        <f t="shared" si="56"/>
        <v>627072.06256142911</v>
      </c>
      <c r="H927" s="544">
        <f t="shared" si="57"/>
        <v>627072.06256142911</v>
      </c>
      <c r="I927" s="541">
        <f t="shared" si="58"/>
        <v>0</v>
      </c>
      <c r="J927" s="541"/>
      <c r="K927" s="561"/>
      <c r="L927" s="545"/>
      <c r="M927" s="561"/>
      <c r="N927" s="545"/>
      <c r="O927" s="545"/>
    </row>
    <row r="928" spans="3:15">
      <c r="C928" s="537">
        <f>IF(D900="","-",+C927+1)</f>
        <v>2038</v>
      </c>
      <c r="D928" s="495">
        <f t="shared" si="54"/>
        <v>3394380.7181944391</v>
      </c>
      <c r="E928" s="538">
        <f t="shared" si="59"/>
        <v>234095.22194444446</v>
      </c>
      <c r="F928" s="495">
        <f t="shared" si="55"/>
        <v>3160285.4962499947</v>
      </c>
      <c r="G928" s="543">
        <f t="shared" si="56"/>
        <v>600873.60652029677</v>
      </c>
      <c r="H928" s="544">
        <f t="shared" si="57"/>
        <v>600873.60652029677</v>
      </c>
      <c r="I928" s="541">
        <f t="shared" si="58"/>
        <v>0</v>
      </c>
      <c r="J928" s="541"/>
      <c r="K928" s="561"/>
      <c r="L928" s="545"/>
      <c r="M928" s="561"/>
      <c r="N928" s="545"/>
      <c r="O928" s="545"/>
    </row>
    <row r="929" spans="3:15">
      <c r="C929" s="537">
        <f>IF(D900="","-",+C928+1)</f>
        <v>2039</v>
      </c>
      <c r="D929" s="495">
        <f t="shared" si="54"/>
        <v>3160285.4962499947</v>
      </c>
      <c r="E929" s="538">
        <f t="shared" si="59"/>
        <v>234095.22194444446</v>
      </c>
      <c r="F929" s="495">
        <f t="shared" si="55"/>
        <v>2926190.2743055504</v>
      </c>
      <c r="G929" s="543">
        <f t="shared" si="56"/>
        <v>574675.15047916444</v>
      </c>
      <c r="H929" s="544">
        <f t="shared" si="57"/>
        <v>574675.15047916444</v>
      </c>
      <c r="I929" s="541">
        <f t="shared" si="58"/>
        <v>0</v>
      </c>
      <c r="J929" s="541"/>
      <c r="K929" s="561"/>
      <c r="L929" s="545"/>
      <c r="M929" s="561"/>
      <c r="N929" s="545"/>
      <c r="O929" s="545"/>
    </row>
    <row r="930" spans="3:15">
      <c r="C930" s="537">
        <f>IF(D900="","-",+C929+1)</f>
        <v>2040</v>
      </c>
      <c r="D930" s="495">
        <f t="shared" si="54"/>
        <v>2926190.2743055504</v>
      </c>
      <c r="E930" s="538">
        <f t="shared" si="59"/>
        <v>234095.22194444446</v>
      </c>
      <c r="F930" s="495">
        <f t="shared" si="55"/>
        <v>2692095.052361106</v>
      </c>
      <c r="G930" s="543">
        <f t="shared" si="56"/>
        <v>548476.69443803211</v>
      </c>
      <c r="H930" s="544">
        <f t="shared" si="57"/>
        <v>548476.69443803211</v>
      </c>
      <c r="I930" s="541">
        <f t="shared" si="58"/>
        <v>0</v>
      </c>
      <c r="J930" s="541"/>
      <c r="K930" s="561"/>
      <c r="L930" s="545"/>
      <c r="M930" s="561"/>
      <c r="N930" s="545"/>
      <c r="O930" s="545"/>
    </row>
    <row r="931" spans="3:15">
      <c r="C931" s="537">
        <f>IF(D900="","-",+C930+1)</f>
        <v>2041</v>
      </c>
      <c r="D931" s="495">
        <f t="shared" si="54"/>
        <v>2692095.052361106</v>
      </c>
      <c r="E931" s="538">
        <f t="shared" si="59"/>
        <v>234095.22194444446</v>
      </c>
      <c r="F931" s="495">
        <f t="shared" si="55"/>
        <v>2457999.8304166617</v>
      </c>
      <c r="G931" s="543">
        <f t="shared" si="56"/>
        <v>522278.23839689972</v>
      </c>
      <c r="H931" s="544">
        <f t="shared" si="57"/>
        <v>522278.23839689972</v>
      </c>
      <c r="I931" s="541">
        <f t="shared" si="58"/>
        <v>0</v>
      </c>
      <c r="J931" s="541"/>
      <c r="K931" s="561"/>
      <c r="L931" s="545"/>
      <c r="M931" s="561"/>
      <c r="N931" s="545"/>
      <c r="O931" s="545"/>
    </row>
    <row r="932" spans="3:15">
      <c r="C932" s="537">
        <f>IF(D900="","-",+C931+1)</f>
        <v>2042</v>
      </c>
      <c r="D932" s="495">
        <f t="shared" si="54"/>
        <v>2457999.8304166617</v>
      </c>
      <c r="E932" s="538">
        <f t="shared" si="59"/>
        <v>234095.22194444446</v>
      </c>
      <c r="F932" s="495">
        <f t="shared" si="55"/>
        <v>2223904.6084722173</v>
      </c>
      <c r="G932" s="543">
        <f t="shared" si="56"/>
        <v>496079.78235576744</v>
      </c>
      <c r="H932" s="544">
        <f t="shared" si="57"/>
        <v>496079.78235576744</v>
      </c>
      <c r="I932" s="541">
        <f t="shared" si="58"/>
        <v>0</v>
      </c>
      <c r="J932" s="541"/>
      <c r="K932" s="561"/>
      <c r="L932" s="545"/>
      <c r="M932" s="561"/>
      <c r="N932" s="545"/>
      <c r="O932" s="545"/>
    </row>
    <row r="933" spans="3:15">
      <c r="C933" s="537">
        <f>IF(D900="","-",+C932+1)</f>
        <v>2043</v>
      </c>
      <c r="D933" s="495">
        <f t="shared" si="54"/>
        <v>2223904.6084722173</v>
      </c>
      <c r="E933" s="538">
        <f t="shared" si="59"/>
        <v>234095.22194444446</v>
      </c>
      <c r="F933" s="495">
        <f t="shared" si="55"/>
        <v>1989809.386527773</v>
      </c>
      <c r="G933" s="543">
        <f t="shared" si="56"/>
        <v>469881.32631463505</v>
      </c>
      <c r="H933" s="544">
        <f t="shared" si="57"/>
        <v>469881.32631463505</v>
      </c>
      <c r="I933" s="541">
        <f t="shared" si="58"/>
        <v>0</v>
      </c>
      <c r="J933" s="541"/>
      <c r="K933" s="561"/>
      <c r="L933" s="545"/>
      <c r="M933" s="561"/>
      <c r="N933" s="545"/>
      <c r="O933" s="545"/>
    </row>
    <row r="934" spans="3:15">
      <c r="C934" s="537">
        <f>IF(D900="","-",+C933+1)</f>
        <v>2044</v>
      </c>
      <c r="D934" s="495">
        <f t="shared" si="54"/>
        <v>1989809.386527773</v>
      </c>
      <c r="E934" s="538">
        <f t="shared" si="59"/>
        <v>234095.22194444446</v>
      </c>
      <c r="F934" s="495">
        <f t="shared" si="55"/>
        <v>1755714.1645833286</v>
      </c>
      <c r="G934" s="539">
        <f t="shared" si="56"/>
        <v>443682.87027350278</v>
      </c>
      <c r="H934" s="544">
        <f t="shared" si="57"/>
        <v>443682.87027350278</v>
      </c>
      <c r="I934" s="541">
        <f t="shared" si="58"/>
        <v>0</v>
      </c>
      <c r="J934" s="541"/>
      <c r="K934" s="561"/>
      <c r="L934" s="545"/>
      <c r="M934" s="561"/>
      <c r="N934" s="545"/>
      <c r="O934" s="545"/>
    </row>
    <row r="935" spans="3:15">
      <c r="C935" s="537">
        <f>IF(D900="","-",+C934+1)</f>
        <v>2045</v>
      </c>
      <c r="D935" s="495">
        <f t="shared" si="54"/>
        <v>1755714.1645833286</v>
      </c>
      <c r="E935" s="538">
        <f t="shared" si="59"/>
        <v>234095.22194444446</v>
      </c>
      <c r="F935" s="495">
        <f t="shared" si="55"/>
        <v>1521618.9426388843</v>
      </c>
      <c r="G935" s="543">
        <f t="shared" si="56"/>
        <v>417484.41423237044</v>
      </c>
      <c r="H935" s="544">
        <f t="shared" si="57"/>
        <v>417484.41423237044</v>
      </c>
      <c r="I935" s="541">
        <f t="shared" si="58"/>
        <v>0</v>
      </c>
      <c r="J935" s="541"/>
      <c r="K935" s="561"/>
      <c r="L935" s="545"/>
      <c r="M935" s="561"/>
      <c r="N935" s="545"/>
      <c r="O935" s="545"/>
    </row>
    <row r="936" spans="3:15">
      <c r="C936" s="537">
        <f>IF(D900="","-",+C935+1)</f>
        <v>2046</v>
      </c>
      <c r="D936" s="495">
        <f t="shared" si="54"/>
        <v>1521618.9426388843</v>
      </c>
      <c r="E936" s="538">
        <f t="shared" si="59"/>
        <v>234095.22194444446</v>
      </c>
      <c r="F936" s="495">
        <f t="shared" si="55"/>
        <v>1287523.72069444</v>
      </c>
      <c r="G936" s="543">
        <f t="shared" si="56"/>
        <v>391285.95819123805</v>
      </c>
      <c r="H936" s="544">
        <f t="shared" si="57"/>
        <v>391285.95819123805</v>
      </c>
      <c r="I936" s="541">
        <f t="shared" si="58"/>
        <v>0</v>
      </c>
      <c r="J936" s="541"/>
      <c r="K936" s="561"/>
      <c r="L936" s="545"/>
      <c r="M936" s="561"/>
      <c r="N936" s="545"/>
      <c r="O936" s="545"/>
    </row>
    <row r="937" spans="3:15">
      <c r="C937" s="537">
        <f>IF(D900="","-",+C936+1)</f>
        <v>2047</v>
      </c>
      <c r="D937" s="495">
        <f t="shared" si="54"/>
        <v>1287523.72069444</v>
      </c>
      <c r="E937" s="538">
        <f t="shared" si="59"/>
        <v>234095.22194444446</v>
      </c>
      <c r="F937" s="495">
        <f t="shared" si="55"/>
        <v>1053428.4987499956</v>
      </c>
      <c r="G937" s="543">
        <f t="shared" si="56"/>
        <v>365087.50215010572</v>
      </c>
      <c r="H937" s="544">
        <f t="shared" si="57"/>
        <v>365087.50215010572</v>
      </c>
      <c r="I937" s="541">
        <f t="shared" si="58"/>
        <v>0</v>
      </c>
      <c r="J937" s="541"/>
      <c r="K937" s="561"/>
      <c r="L937" s="545"/>
      <c r="M937" s="561"/>
      <c r="N937" s="545"/>
      <c r="O937" s="545"/>
    </row>
    <row r="938" spans="3:15">
      <c r="C938" s="537">
        <f>IF(D900="","-",+C937+1)</f>
        <v>2048</v>
      </c>
      <c r="D938" s="495">
        <f t="shared" si="54"/>
        <v>1053428.4987499956</v>
      </c>
      <c r="E938" s="538">
        <f t="shared" si="59"/>
        <v>234095.22194444446</v>
      </c>
      <c r="F938" s="495">
        <f t="shared" si="55"/>
        <v>819333.27680555114</v>
      </c>
      <c r="G938" s="543">
        <f t="shared" si="56"/>
        <v>338889.04610897339</v>
      </c>
      <c r="H938" s="544">
        <f t="shared" si="57"/>
        <v>338889.04610897339</v>
      </c>
      <c r="I938" s="541">
        <f t="shared" si="58"/>
        <v>0</v>
      </c>
      <c r="J938" s="541"/>
      <c r="K938" s="561"/>
      <c r="L938" s="545"/>
      <c r="M938" s="561"/>
      <c r="N938" s="545"/>
      <c r="O938" s="545"/>
    </row>
    <row r="939" spans="3:15">
      <c r="C939" s="537">
        <f>IF(D900="","-",+C938+1)</f>
        <v>2049</v>
      </c>
      <c r="D939" s="495">
        <f t="shared" si="54"/>
        <v>819333.27680555114</v>
      </c>
      <c r="E939" s="538">
        <f t="shared" si="59"/>
        <v>234095.22194444446</v>
      </c>
      <c r="F939" s="495">
        <f t="shared" si="55"/>
        <v>585238.05486110668</v>
      </c>
      <c r="G939" s="543">
        <f t="shared" si="56"/>
        <v>312690.590067841</v>
      </c>
      <c r="H939" s="544">
        <f t="shared" si="57"/>
        <v>312690.590067841</v>
      </c>
      <c r="I939" s="541">
        <f t="shared" si="58"/>
        <v>0</v>
      </c>
      <c r="J939" s="541"/>
      <c r="K939" s="561"/>
      <c r="L939" s="545"/>
      <c r="M939" s="561"/>
      <c r="N939" s="545"/>
      <c r="O939" s="545"/>
    </row>
    <row r="940" spans="3:15">
      <c r="C940" s="537">
        <f>IF(D900="","-",+C939+1)</f>
        <v>2050</v>
      </c>
      <c r="D940" s="495">
        <f t="shared" si="54"/>
        <v>585238.05486110668</v>
      </c>
      <c r="E940" s="538">
        <f t="shared" si="59"/>
        <v>234095.22194444446</v>
      </c>
      <c r="F940" s="495">
        <f t="shared" si="55"/>
        <v>351142.83291666221</v>
      </c>
      <c r="G940" s="543">
        <f t="shared" si="56"/>
        <v>286492.13402670866</v>
      </c>
      <c r="H940" s="544">
        <f t="shared" si="57"/>
        <v>286492.13402670866</v>
      </c>
      <c r="I940" s="541">
        <f t="shared" si="58"/>
        <v>0</v>
      </c>
      <c r="J940" s="541"/>
      <c r="K940" s="561"/>
      <c r="L940" s="545"/>
      <c r="M940" s="561"/>
      <c r="N940" s="545"/>
      <c r="O940" s="545"/>
    </row>
    <row r="941" spans="3:15">
      <c r="C941" s="537">
        <f>IF(D900="","-",+C940+1)</f>
        <v>2051</v>
      </c>
      <c r="D941" s="495">
        <f t="shared" si="54"/>
        <v>351142.83291666221</v>
      </c>
      <c r="E941" s="538">
        <f t="shared" si="59"/>
        <v>234095.22194444446</v>
      </c>
      <c r="F941" s="495">
        <f t="shared" si="55"/>
        <v>117047.61097221775</v>
      </c>
      <c r="G941" s="543">
        <f t="shared" si="56"/>
        <v>260293.67798557633</v>
      </c>
      <c r="H941" s="544">
        <f t="shared" si="57"/>
        <v>260293.67798557633</v>
      </c>
      <c r="I941" s="541">
        <f t="shared" si="58"/>
        <v>0</v>
      </c>
      <c r="J941" s="541"/>
      <c r="K941" s="561"/>
      <c r="L941" s="545"/>
      <c r="M941" s="561"/>
      <c r="N941" s="545"/>
      <c r="O941" s="545"/>
    </row>
    <row r="942" spans="3:15">
      <c r="C942" s="537">
        <f>IF(D900="","-",+C941+1)</f>
        <v>2052</v>
      </c>
      <c r="D942" s="495">
        <f t="shared" si="54"/>
        <v>117047.61097221775</v>
      </c>
      <c r="E942" s="538">
        <f t="shared" si="59"/>
        <v>117047.61097221775</v>
      </c>
      <c r="F942" s="495">
        <f t="shared" si="55"/>
        <v>0</v>
      </c>
      <c r="G942" s="543">
        <f t="shared" si="56"/>
        <v>123597.22498250059</v>
      </c>
      <c r="H942" s="544">
        <f t="shared" si="57"/>
        <v>123597.22498250059</v>
      </c>
      <c r="I942" s="541">
        <f t="shared" si="58"/>
        <v>0</v>
      </c>
      <c r="J942" s="541"/>
      <c r="K942" s="561"/>
      <c r="L942" s="545"/>
      <c r="M942" s="561"/>
      <c r="N942" s="545"/>
      <c r="O942" s="545"/>
    </row>
    <row r="943" spans="3:15">
      <c r="C943" s="537">
        <f>IF(D900="","-",+C942+1)</f>
        <v>2053</v>
      </c>
      <c r="D943" s="495">
        <f t="shared" si="54"/>
        <v>0</v>
      </c>
      <c r="E943" s="538">
        <f t="shared" si="59"/>
        <v>0</v>
      </c>
      <c r="F943" s="495">
        <f t="shared" si="55"/>
        <v>0</v>
      </c>
      <c r="G943" s="543">
        <f t="shared" si="56"/>
        <v>0</v>
      </c>
      <c r="H943" s="544">
        <f t="shared" si="57"/>
        <v>0</v>
      </c>
      <c r="I943" s="541">
        <f t="shared" si="58"/>
        <v>0</v>
      </c>
      <c r="J943" s="541"/>
      <c r="K943" s="561"/>
      <c r="L943" s="545"/>
      <c r="M943" s="561"/>
      <c r="N943" s="545"/>
      <c r="O943" s="545"/>
    </row>
    <row r="944" spans="3:15">
      <c r="C944" s="537">
        <f>IF(D900="","-",+C943+1)</f>
        <v>2054</v>
      </c>
      <c r="D944" s="495">
        <f t="shared" si="54"/>
        <v>0</v>
      </c>
      <c r="E944" s="538">
        <f t="shared" si="59"/>
        <v>0</v>
      </c>
      <c r="F944" s="495">
        <f t="shared" si="55"/>
        <v>0</v>
      </c>
      <c r="G944" s="543">
        <f t="shared" si="56"/>
        <v>0</v>
      </c>
      <c r="H944" s="544">
        <f t="shared" si="57"/>
        <v>0</v>
      </c>
      <c r="I944" s="541">
        <f t="shared" si="58"/>
        <v>0</v>
      </c>
      <c r="J944" s="541"/>
      <c r="K944" s="561"/>
      <c r="L944" s="545"/>
      <c r="M944" s="561"/>
      <c r="N944" s="545"/>
      <c r="O944" s="545"/>
    </row>
    <row r="945" spans="3:15">
      <c r="C945" s="537">
        <f>IF(D900="","-",+C944+1)</f>
        <v>2055</v>
      </c>
      <c r="D945" s="495">
        <f t="shared" si="54"/>
        <v>0</v>
      </c>
      <c r="E945" s="538">
        <f t="shared" si="59"/>
        <v>0</v>
      </c>
      <c r="F945" s="495">
        <f t="shared" si="55"/>
        <v>0</v>
      </c>
      <c r="G945" s="543">
        <f t="shared" si="56"/>
        <v>0</v>
      </c>
      <c r="H945" s="544">
        <f t="shared" si="57"/>
        <v>0</v>
      </c>
      <c r="I945" s="541">
        <f t="shared" si="58"/>
        <v>0</v>
      </c>
      <c r="J945" s="541"/>
      <c r="K945" s="561"/>
      <c r="L945" s="545"/>
      <c r="M945" s="561"/>
      <c r="N945" s="545"/>
      <c r="O945" s="545"/>
    </row>
    <row r="946" spans="3:15">
      <c r="C946" s="537">
        <f>IF(D900="","-",+C945+1)</f>
        <v>2056</v>
      </c>
      <c r="D946" s="495">
        <f t="shared" si="54"/>
        <v>0</v>
      </c>
      <c r="E946" s="538">
        <f t="shared" si="59"/>
        <v>0</v>
      </c>
      <c r="F946" s="495">
        <f t="shared" si="55"/>
        <v>0</v>
      </c>
      <c r="G946" s="543">
        <f t="shared" si="56"/>
        <v>0</v>
      </c>
      <c r="H946" s="544">
        <f t="shared" si="57"/>
        <v>0</v>
      </c>
      <c r="I946" s="541">
        <f t="shared" si="58"/>
        <v>0</v>
      </c>
      <c r="J946" s="541"/>
      <c r="K946" s="561"/>
      <c r="L946" s="545"/>
      <c r="M946" s="561"/>
      <c r="N946" s="545"/>
      <c r="O946" s="545"/>
    </row>
    <row r="947" spans="3:15">
      <c r="C947" s="537">
        <f>IF(D900="","-",+C946+1)</f>
        <v>2057</v>
      </c>
      <c r="D947" s="495">
        <f t="shared" si="54"/>
        <v>0</v>
      </c>
      <c r="E947" s="538">
        <f t="shared" si="59"/>
        <v>0</v>
      </c>
      <c r="F947" s="495">
        <f t="shared" si="55"/>
        <v>0</v>
      </c>
      <c r="G947" s="543">
        <f t="shared" si="56"/>
        <v>0</v>
      </c>
      <c r="H947" s="544">
        <f t="shared" si="57"/>
        <v>0</v>
      </c>
      <c r="I947" s="541">
        <f t="shared" si="58"/>
        <v>0</v>
      </c>
      <c r="J947" s="541"/>
      <c r="K947" s="561"/>
      <c r="L947" s="545"/>
      <c r="M947" s="561"/>
      <c r="N947" s="545"/>
      <c r="O947" s="545"/>
    </row>
    <row r="948" spans="3:15">
      <c r="C948" s="537">
        <f>IF(D900="","-",+C947+1)</f>
        <v>2058</v>
      </c>
      <c r="D948" s="495">
        <f t="shared" si="54"/>
        <v>0</v>
      </c>
      <c r="E948" s="538">
        <f t="shared" si="59"/>
        <v>0</v>
      </c>
      <c r="F948" s="495">
        <f t="shared" si="55"/>
        <v>0</v>
      </c>
      <c r="G948" s="543">
        <f t="shared" si="56"/>
        <v>0</v>
      </c>
      <c r="H948" s="544">
        <f t="shared" si="57"/>
        <v>0</v>
      </c>
      <c r="I948" s="541">
        <f t="shared" si="58"/>
        <v>0</v>
      </c>
      <c r="J948" s="541"/>
      <c r="K948" s="561"/>
      <c r="L948" s="545"/>
      <c r="M948" s="561"/>
      <c r="N948" s="545"/>
      <c r="O948" s="545"/>
    </row>
    <row r="949" spans="3:15">
      <c r="C949" s="537">
        <f>IF(D900="","-",+C948+1)</f>
        <v>2059</v>
      </c>
      <c r="D949" s="495">
        <f t="shared" si="54"/>
        <v>0</v>
      </c>
      <c r="E949" s="538">
        <f t="shared" si="59"/>
        <v>0</v>
      </c>
      <c r="F949" s="495">
        <f t="shared" si="55"/>
        <v>0</v>
      </c>
      <c r="G949" s="543">
        <f t="shared" si="56"/>
        <v>0</v>
      </c>
      <c r="H949" s="544">
        <f t="shared" si="57"/>
        <v>0</v>
      </c>
      <c r="I949" s="541">
        <f t="shared" si="58"/>
        <v>0</v>
      </c>
      <c r="J949" s="541"/>
      <c r="K949" s="561"/>
      <c r="L949" s="545"/>
      <c r="M949" s="561"/>
      <c r="N949" s="545"/>
      <c r="O949" s="545"/>
    </row>
    <row r="950" spans="3:15">
      <c r="C950" s="537">
        <f>IF(D900="","-",+C949+1)</f>
        <v>2060</v>
      </c>
      <c r="D950" s="495">
        <f t="shared" si="54"/>
        <v>0</v>
      </c>
      <c r="E950" s="538">
        <f t="shared" si="59"/>
        <v>0</v>
      </c>
      <c r="F950" s="495">
        <f t="shared" si="55"/>
        <v>0</v>
      </c>
      <c r="G950" s="543">
        <f t="shared" si="56"/>
        <v>0</v>
      </c>
      <c r="H950" s="544">
        <f t="shared" si="57"/>
        <v>0</v>
      </c>
      <c r="I950" s="541">
        <f t="shared" si="58"/>
        <v>0</v>
      </c>
      <c r="J950" s="541"/>
      <c r="K950" s="561"/>
      <c r="L950" s="545"/>
      <c r="M950" s="561"/>
      <c r="N950" s="545"/>
      <c r="O950" s="545"/>
    </row>
    <row r="951" spans="3:15">
      <c r="C951" s="537">
        <f>IF(D900="","-",+C950+1)</f>
        <v>2061</v>
      </c>
      <c r="D951" s="495">
        <f t="shared" si="54"/>
        <v>0</v>
      </c>
      <c r="E951" s="538">
        <f t="shared" si="59"/>
        <v>0</v>
      </c>
      <c r="F951" s="495">
        <f t="shared" si="55"/>
        <v>0</v>
      </c>
      <c r="G951" s="543">
        <f t="shared" si="56"/>
        <v>0</v>
      </c>
      <c r="H951" s="544">
        <f t="shared" si="57"/>
        <v>0</v>
      </c>
      <c r="I951" s="541">
        <f t="shared" si="58"/>
        <v>0</v>
      </c>
      <c r="J951" s="541"/>
      <c r="K951" s="561"/>
      <c r="L951" s="545"/>
      <c r="M951" s="561"/>
      <c r="N951" s="545"/>
      <c r="O951" s="545"/>
    </row>
    <row r="952" spans="3:15">
      <c r="C952" s="537">
        <f>IF(D900="","-",+C951+1)</f>
        <v>2062</v>
      </c>
      <c r="D952" s="495">
        <f t="shared" si="54"/>
        <v>0</v>
      </c>
      <c r="E952" s="538">
        <f t="shared" si="59"/>
        <v>0</v>
      </c>
      <c r="F952" s="495">
        <f t="shared" si="55"/>
        <v>0</v>
      </c>
      <c r="G952" s="543">
        <f t="shared" si="56"/>
        <v>0</v>
      </c>
      <c r="H952" s="544">
        <f t="shared" si="57"/>
        <v>0</v>
      </c>
      <c r="I952" s="541">
        <f t="shared" si="58"/>
        <v>0</v>
      </c>
      <c r="J952" s="541"/>
      <c r="K952" s="561"/>
      <c r="L952" s="545"/>
      <c r="M952" s="561"/>
      <c r="N952" s="545"/>
      <c r="O952" s="545"/>
    </row>
    <row r="953" spans="3:15">
      <c r="C953" s="537">
        <f>IF(D900="","-",+C952+1)</f>
        <v>2063</v>
      </c>
      <c r="D953" s="495">
        <f t="shared" si="54"/>
        <v>0</v>
      </c>
      <c r="E953" s="538">
        <f t="shared" si="59"/>
        <v>0</v>
      </c>
      <c r="F953" s="495">
        <f t="shared" si="55"/>
        <v>0</v>
      </c>
      <c r="G953" s="543">
        <f t="shared" si="56"/>
        <v>0</v>
      </c>
      <c r="H953" s="544">
        <f t="shared" si="57"/>
        <v>0</v>
      </c>
      <c r="I953" s="541">
        <f t="shared" si="58"/>
        <v>0</v>
      </c>
      <c r="J953" s="541"/>
      <c r="K953" s="561"/>
      <c r="L953" s="545"/>
      <c r="M953" s="561"/>
      <c r="N953" s="545"/>
      <c r="O953" s="545"/>
    </row>
    <row r="954" spans="3:15">
      <c r="C954" s="537">
        <f>IF(D900="","-",+C953+1)</f>
        <v>2064</v>
      </c>
      <c r="D954" s="495">
        <f t="shared" si="54"/>
        <v>0</v>
      </c>
      <c r="E954" s="538">
        <f t="shared" si="59"/>
        <v>0</v>
      </c>
      <c r="F954" s="495">
        <f t="shared" si="55"/>
        <v>0</v>
      </c>
      <c r="G954" s="543">
        <f t="shared" si="56"/>
        <v>0</v>
      </c>
      <c r="H954" s="544">
        <f t="shared" si="57"/>
        <v>0</v>
      </c>
      <c r="I954" s="541">
        <f t="shared" si="58"/>
        <v>0</v>
      </c>
      <c r="J954" s="541"/>
      <c r="K954" s="561"/>
      <c r="L954" s="545"/>
      <c r="M954" s="561"/>
      <c r="N954" s="545"/>
      <c r="O954" s="545"/>
    </row>
    <row r="955" spans="3:15">
      <c r="C955" s="537">
        <f>IF(D900="","-",+C954+1)</f>
        <v>2065</v>
      </c>
      <c r="D955" s="495">
        <f t="shared" si="54"/>
        <v>0</v>
      </c>
      <c r="E955" s="538">
        <f t="shared" si="59"/>
        <v>0</v>
      </c>
      <c r="F955" s="495">
        <f t="shared" si="55"/>
        <v>0</v>
      </c>
      <c r="G955" s="543">
        <f t="shared" si="56"/>
        <v>0</v>
      </c>
      <c r="H955" s="544">
        <f t="shared" si="57"/>
        <v>0</v>
      </c>
      <c r="I955" s="541">
        <f t="shared" si="58"/>
        <v>0</v>
      </c>
      <c r="J955" s="541"/>
      <c r="K955" s="561"/>
      <c r="L955" s="545"/>
      <c r="M955" s="561"/>
      <c r="N955" s="545"/>
      <c r="O955" s="545"/>
    </row>
    <row r="956" spans="3:15">
      <c r="C956" s="537">
        <f>IF(D900="","-",+C955+1)</f>
        <v>2066</v>
      </c>
      <c r="D956" s="495">
        <f t="shared" si="54"/>
        <v>0</v>
      </c>
      <c r="E956" s="538">
        <f t="shared" si="59"/>
        <v>0</v>
      </c>
      <c r="F956" s="495">
        <f t="shared" si="55"/>
        <v>0</v>
      </c>
      <c r="G956" s="543">
        <f t="shared" si="56"/>
        <v>0</v>
      </c>
      <c r="H956" s="544">
        <f t="shared" si="57"/>
        <v>0</v>
      </c>
      <c r="I956" s="541">
        <f t="shared" si="58"/>
        <v>0</v>
      </c>
      <c r="J956" s="541"/>
      <c r="K956" s="561"/>
      <c r="L956" s="545"/>
      <c r="M956" s="561"/>
      <c r="N956" s="545"/>
      <c r="O956" s="545"/>
    </row>
    <row r="957" spans="3:15">
      <c r="C957" s="537">
        <f>IF(D900="","-",+C956+1)</f>
        <v>2067</v>
      </c>
      <c r="D957" s="495">
        <f t="shared" si="54"/>
        <v>0</v>
      </c>
      <c r="E957" s="538">
        <f t="shared" si="59"/>
        <v>0</v>
      </c>
      <c r="F957" s="495">
        <f t="shared" si="55"/>
        <v>0</v>
      </c>
      <c r="G957" s="543">
        <f t="shared" si="56"/>
        <v>0</v>
      </c>
      <c r="H957" s="544">
        <f t="shared" si="57"/>
        <v>0</v>
      </c>
      <c r="I957" s="541">
        <f t="shared" si="58"/>
        <v>0</v>
      </c>
      <c r="J957" s="541"/>
      <c r="K957" s="561"/>
      <c r="L957" s="545"/>
      <c r="M957" s="561"/>
      <c r="N957" s="545"/>
      <c r="O957" s="545"/>
    </row>
    <row r="958" spans="3:15">
      <c r="C958" s="537">
        <f>IF(D900="","-",+C957+1)</f>
        <v>2068</v>
      </c>
      <c r="D958" s="495">
        <f t="shared" si="54"/>
        <v>0</v>
      </c>
      <c r="E958" s="538">
        <f t="shared" si="59"/>
        <v>0</v>
      </c>
      <c r="F958" s="495">
        <f t="shared" si="55"/>
        <v>0</v>
      </c>
      <c r="G958" s="543">
        <f t="shared" si="56"/>
        <v>0</v>
      </c>
      <c r="H958" s="544">
        <f t="shared" si="57"/>
        <v>0</v>
      </c>
      <c r="I958" s="541">
        <f t="shared" si="58"/>
        <v>0</v>
      </c>
      <c r="J958" s="541"/>
      <c r="K958" s="561"/>
      <c r="L958" s="545"/>
      <c r="M958" s="561"/>
      <c r="N958" s="545"/>
      <c r="O958" s="545"/>
    </row>
    <row r="959" spans="3:15">
      <c r="C959" s="537">
        <f>IF(D900="","-",+C958+1)</f>
        <v>2069</v>
      </c>
      <c r="D959" s="495">
        <f t="shared" si="54"/>
        <v>0</v>
      </c>
      <c r="E959" s="538">
        <f t="shared" si="59"/>
        <v>0</v>
      </c>
      <c r="F959" s="495">
        <f t="shared" si="55"/>
        <v>0</v>
      </c>
      <c r="G959" s="543">
        <f t="shared" si="56"/>
        <v>0</v>
      </c>
      <c r="H959" s="544">
        <f t="shared" si="57"/>
        <v>0</v>
      </c>
      <c r="I959" s="541">
        <f t="shared" si="58"/>
        <v>0</v>
      </c>
      <c r="J959" s="541"/>
      <c r="K959" s="561"/>
      <c r="L959" s="545"/>
      <c r="M959" s="561"/>
      <c r="N959" s="545"/>
      <c r="O959" s="545"/>
    </row>
    <row r="960" spans="3:15">
      <c r="C960" s="537">
        <f>IF(D900="","-",+C959+1)</f>
        <v>2070</v>
      </c>
      <c r="D960" s="495">
        <f t="shared" si="54"/>
        <v>0</v>
      </c>
      <c r="E960" s="538">
        <f t="shared" si="59"/>
        <v>0</v>
      </c>
      <c r="F960" s="495">
        <f t="shared" si="55"/>
        <v>0</v>
      </c>
      <c r="G960" s="543">
        <f t="shared" si="56"/>
        <v>0</v>
      </c>
      <c r="H960" s="544">
        <f t="shared" si="57"/>
        <v>0</v>
      </c>
      <c r="I960" s="541">
        <f t="shared" si="58"/>
        <v>0</v>
      </c>
      <c r="J960" s="541"/>
      <c r="K960" s="561"/>
      <c r="L960" s="545"/>
      <c r="M960" s="561"/>
      <c r="N960" s="545"/>
      <c r="O960" s="545"/>
    </row>
    <row r="961" spans="3:15">
      <c r="C961" s="537">
        <f>IF(D900="","-",+C960+1)</f>
        <v>2071</v>
      </c>
      <c r="D961" s="495">
        <f t="shared" si="54"/>
        <v>0</v>
      </c>
      <c r="E961" s="538">
        <f t="shared" si="59"/>
        <v>0</v>
      </c>
      <c r="F961" s="495">
        <f t="shared" si="55"/>
        <v>0</v>
      </c>
      <c r="G961" s="543">
        <f t="shared" si="56"/>
        <v>0</v>
      </c>
      <c r="H961" s="544">
        <f t="shared" si="57"/>
        <v>0</v>
      </c>
      <c r="I961" s="541">
        <f t="shared" si="58"/>
        <v>0</v>
      </c>
      <c r="J961" s="541"/>
      <c r="K961" s="561"/>
      <c r="L961" s="545"/>
      <c r="M961" s="561"/>
      <c r="N961" s="545"/>
      <c r="O961" s="545"/>
    </row>
    <row r="962" spans="3:15">
      <c r="C962" s="537">
        <f>IF(D900="","-",+C961+1)</f>
        <v>2072</v>
      </c>
      <c r="D962" s="495">
        <f t="shared" si="54"/>
        <v>0</v>
      </c>
      <c r="E962" s="538">
        <f t="shared" si="59"/>
        <v>0</v>
      </c>
      <c r="F962" s="495">
        <f t="shared" si="55"/>
        <v>0</v>
      </c>
      <c r="G962" s="543">
        <f t="shared" si="56"/>
        <v>0</v>
      </c>
      <c r="H962" s="544">
        <f t="shared" si="57"/>
        <v>0</v>
      </c>
      <c r="I962" s="541">
        <f t="shared" si="58"/>
        <v>0</v>
      </c>
      <c r="J962" s="541"/>
      <c r="K962" s="561"/>
      <c r="L962" s="545"/>
      <c r="M962" s="561"/>
      <c r="N962" s="545"/>
      <c r="O962" s="545"/>
    </row>
    <row r="963" spans="3:15">
      <c r="C963" s="537">
        <f>IF(D900="","-",+C962+1)</f>
        <v>2073</v>
      </c>
      <c r="D963" s="495">
        <f t="shared" si="54"/>
        <v>0</v>
      </c>
      <c r="E963" s="538">
        <f t="shared" si="59"/>
        <v>0</v>
      </c>
      <c r="F963" s="495">
        <f t="shared" si="55"/>
        <v>0</v>
      </c>
      <c r="G963" s="543">
        <f t="shared" si="56"/>
        <v>0</v>
      </c>
      <c r="H963" s="544">
        <f t="shared" si="57"/>
        <v>0</v>
      </c>
      <c r="I963" s="541">
        <f t="shared" si="58"/>
        <v>0</v>
      </c>
      <c r="J963" s="541"/>
      <c r="K963" s="561"/>
      <c r="L963" s="545"/>
      <c r="M963" s="561"/>
      <c r="N963" s="545"/>
      <c r="O963" s="545"/>
    </row>
    <row r="964" spans="3:15">
      <c r="C964" s="537">
        <f>IF(D900="","-",+C963+1)</f>
        <v>2074</v>
      </c>
      <c r="D964" s="495">
        <f t="shared" si="54"/>
        <v>0</v>
      </c>
      <c r="E964" s="538">
        <f t="shared" si="59"/>
        <v>0</v>
      </c>
      <c r="F964" s="495">
        <f t="shared" si="55"/>
        <v>0</v>
      </c>
      <c r="G964" s="543">
        <f t="shared" si="56"/>
        <v>0</v>
      </c>
      <c r="H964" s="544">
        <f t="shared" si="57"/>
        <v>0</v>
      </c>
      <c r="I964" s="541">
        <f t="shared" si="58"/>
        <v>0</v>
      </c>
      <c r="J964" s="541"/>
      <c r="K964" s="561"/>
      <c r="L964" s="545"/>
      <c r="M964" s="561"/>
      <c r="N964" s="545"/>
      <c r="O964" s="545"/>
    </row>
    <row r="965" spans="3:15" ht="13.5" thickBot="1">
      <c r="C965" s="547">
        <f>IF(D900="","-",+C964+1)</f>
        <v>2075</v>
      </c>
      <c r="D965" s="548">
        <f t="shared" si="54"/>
        <v>0</v>
      </c>
      <c r="E965" s="549">
        <f t="shared" si="59"/>
        <v>0</v>
      </c>
      <c r="F965" s="548">
        <f t="shared" si="55"/>
        <v>0</v>
      </c>
      <c r="G965" s="550">
        <f t="shared" si="56"/>
        <v>0</v>
      </c>
      <c r="H965" s="550">
        <f t="shared" si="57"/>
        <v>0</v>
      </c>
      <c r="I965" s="551">
        <f t="shared" si="58"/>
        <v>0</v>
      </c>
      <c r="J965" s="541"/>
      <c r="K965" s="562"/>
      <c r="L965" s="552"/>
      <c r="M965" s="562"/>
      <c r="N965" s="552"/>
      <c r="O965" s="552"/>
    </row>
    <row r="966" spans="3:15">
      <c r="C966" s="495" t="s">
        <v>91</v>
      </c>
      <c r="D966" s="492"/>
      <c r="E966" s="492">
        <f>SUM(E906:E965)</f>
        <v>8427427.9900000002</v>
      </c>
      <c r="F966" s="492"/>
      <c r="G966" s="492">
        <f>SUM(G906:G965)</f>
        <v>25875599.713394128</v>
      </c>
      <c r="H966" s="492">
        <f>SUM(H906:H965)</f>
        <v>25875599.713394128</v>
      </c>
      <c r="I966" s="492">
        <f>SUM(I906:I965)</f>
        <v>0</v>
      </c>
      <c r="J966" s="492"/>
      <c r="K966" s="492"/>
      <c r="L966" s="492"/>
      <c r="M966" s="492"/>
      <c r="N966" s="492"/>
      <c r="O966" s="3"/>
    </row>
    <row r="967" spans="3:15">
      <c r="D967" s="47"/>
      <c r="E967" s="3"/>
      <c r="F967" s="3"/>
      <c r="G967" s="3"/>
      <c r="H967" s="479"/>
      <c r="I967" s="479"/>
      <c r="J967" s="492"/>
      <c r="K967" s="479"/>
      <c r="L967" s="479"/>
      <c r="M967" s="479"/>
      <c r="N967" s="479"/>
      <c r="O967" s="3"/>
    </row>
    <row r="968" spans="3:15">
      <c r="C968" s="3" t="s">
        <v>13</v>
      </c>
      <c r="D968" s="47"/>
      <c r="E968" s="3"/>
      <c r="F968" s="3"/>
      <c r="G968" s="3"/>
      <c r="H968" s="479"/>
      <c r="I968" s="479"/>
      <c r="J968" s="492"/>
      <c r="K968" s="479"/>
      <c r="L968" s="479"/>
      <c r="M968" s="479"/>
      <c r="N968" s="479"/>
      <c r="O968" s="3"/>
    </row>
    <row r="969" spans="3:15">
      <c r="C969" s="3"/>
      <c r="D969" s="47"/>
      <c r="E969" s="3"/>
      <c r="F969" s="3"/>
      <c r="G969" s="3"/>
      <c r="H969" s="479"/>
      <c r="I969" s="479"/>
      <c r="J969" s="492"/>
      <c r="K969" s="479"/>
      <c r="L969" s="479"/>
      <c r="M969" s="479"/>
      <c r="N969" s="479"/>
      <c r="O969" s="3"/>
    </row>
    <row r="970" spans="3:15">
      <c r="C970" s="507" t="s">
        <v>14</v>
      </c>
      <c r="D970" s="495"/>
      <c r="E970" s="495"/>
      <c r="F970" s="495"/>
      <c r="G970" s="492"/>
      <c r="H970" s="492"/>
      <c r="I970" s="553"/>
      <c r="J970" s="553"/>
      <c r="K970" s="553"/>
      <c r="L970" s="553"/>
      <c r="M970" s="553"/>
      <c r="N970" s="553"/>
      <c r="O970" s="3"/>
    </row>
    <row r="971" spans="3:15">
      <c r="C971" s="496" t="s">
        <v>271</v>
      </c>
      <c r="D971" s="495"/>
      <c r="E971" s="495"/>
      <c r="F971" s="495"/>
      <c r="G971" s="492"/>
      <c r="H971" s="492"/>
      <c r="I971" s="553"/>
      <c r="J971" s="553"/>
      <c r="K971" s="553"/>
      <c r="L971" s="553"/>
      <c r="M971" s="553"/>
      <c r="N971" s="553"/>
      <c r="O971" s="3"/>
    </row>
    <row r="972" spans="3:15">
      <c r="C972" s="496" t="s">
        <v>92</v>
      </c>
      <c r="D972" s="495"/>
      <c r="E972" s="495"/>
      <c r="F972" s="495"/>
      <c r="G972" s="492"/>
      <c r="H972" s="492"/>
      <c r="I972" s="553"/>
      <c r="J972" s="553"/>
      <c r="K972" s="553"/>
      <c r="L972" s="553"/>
      <c r="M972" s="553"/>
      <c r="N972" s="553"/>
      <c r="O972" s="3"/>
    </row>
    <row r="973" spans="3:15">
      <c r="C973" s="496"/>
      <c r="D973" s="495"/>
      <c r="E973" s="495"/>
      <c r="F973" s="495"/>
      <c r="G973" s="492"/>
      <c r="H973" s="492"/>
      <c r="I973" s="553"/>
      <c r="J973" s="553"/>
      <c r="K973" s="553"/>
      <c r="L973" s="553"/>
      <c r="M973" s="553"/>
      <c r="N973" s="553"/>
      <c r="O973" s="3"/>
    </row>
    <row r="974" spans="3:15">
      <c r="C974" s="1185" t="s">
        <v>6</v>
      </c>
      <c r="D974" s="1185"/>
      <c r="E974" s="1185"/>
      <c r="F974" s="1185"/>
      <c r="G974" s="1185"/>
      <c r="H974" s="1185"/>
      <c r="I974" s="1185"/>
      <c r="J974" s="1185"/>
      <c r="K974" s="1185"/>
      <c r="L974" s="1185"/>
      <c r="M974" s="1185"/>
      <c r="N974" s="1185"/>
      <c r="O974" s="1185"/>
    </row>
    <row r="975" spans="3:15">
      <c r="C975" s="1185"/>
      <c r="D975" s="1185"/>
      <c r="E975" s="1185"/>
      <c r="F975" s="1185"/>
      <c r="G975" s="1185"/>
      <c r="H975" s="1185"/>
      <c r="I975" s="1185"/>
      <c r="J975" s="1185"/>
      <c r="K975" s="1185"/>
      <c r="L975" s="1185"/>
      <c r="M975" s="1185"/>
      <c r="N975" s="1185"/>
      <c r="O975" s="1185"/>
    </row>
    <row r="978" spans="1:16" ht="20.25">
      <c r="A978" s="436" t="str">
        <f>""&amp;A902&amp;" Worksheet J -  ATRR PROJECTED Calculation for PJM Projects Charged to Benefiting Zones"</f>
        <v xml:space="preserve"> Worksheet J -  ATRR PROJECTED Calculation for PJM Projects Charged to Benefiting Zones</v>
      </c>
      <c r="B978" s="3"/>
      <c r="C978" s="3"/>
      <c r="D978" s="47"/>
      <c r="E978" s="3"/>
      <c r="F978" s="478"/>
      <c r="G978" s="3"/>
      <c r="H978" s="479"/>
      <c r="K978" s="387"/>
      <c r="L978" s="387"/>
      <c r="M978" s="387"/>
      <c r="N978" s="387" t="str">
        <f>"Page "&amp;SUM(P$8:P1067)&amp;" of "</f>
        <v xml:space="preserve">Page 12 of </v>
      </c>
      <c r="O978" s="437">
        <f>COUNT(P$8:P$56562)</f>
        <v>12</v>
      </c>
      <c r="P978">
        <v>1</v>
      </c>
    </row>
    <row r="979" spans="1:16" ht="20.25">
      <c r="A979" s="436"/>
      <c r="B979" s="3"/>
      <c r="C979" s="3"/>
      <c r="D979" s="47"/>
      <c r="E979" s="3"/>
      <c r="F979" s="478"/>
      <c r="G979" s="3"/>
      <c r="H979" s="479"/>
      <c r="K979" s="387"/>
      <c r="L979" s="387"/>
      <c r="M979" s="387"/>
      <c r="N979" s="387"/>
      <c r="O979" s="437"/>
    </row>
    <row r="980" spans="1:16" ht="18">
      <c r="B980" s="438" t="s">
        <v>472</v>
      </c>
      <c r="C980" s="119" t="s">
        <v>93</v>
      </c>
      <c r="D980" s="47"/>
      <c r="E980" s="3"/>
      <c r="F980" s="3"/>
      <c r="G980" s="3"/>
      <c r="H980" s="479"/>
      <c r="I980" s="479"/>
      <c r="J980" s="492"/>
      <c r="K980" s="479"/>
      <c r="L980" s="479"/>
      <c r="M980" s="479"/>
      <c r="N980" s="479"/>
      <c r="O980" s="3"/>
    </row>
    <row r="981" spans="1:16" ht="18.75">
      <c r="B981" s="438"/>
      <c r="C981" s="6"/>
      <c r="D981" s="47"/>
      <c r="E981" s="3"/>
      <c r="F981" s="3"/>
      <c r="G981" s="3"/>
      <c r="H981" s="479"/>
      <c r="I981" s="479"/>
      <c r="J981" s="492"/>
      <c r="K981" s="479"/>
      <c r="L981" s="479"/>
      <c r="M981" s="479"/>
      <c r="N981" s="479"/>
      <c r="O981" s="3"/>
    </row>
    <row r="982" spans="1:16" ht="18.75">
      <c r="B982" s="438"/>
      <c r="C982" s="6" t="s">
        <v>94</v>
      </c>
      <c r="D982" s="47"/>
      <c r="E982" s="3"/>
      <c r="F982" s="3"/>
      <c r="G982" s="3"/>
      <c r="H982" s="479"/>
      <c r="I982" s="479"/>
      <c r="J982" s="492"/>
      <c r="K982" s="479"/>
      <c r="L982" s="479"/>
      <c r="M982" s="479"/>
      <c r="N982" s="479"/>
      <c r="O982" s="3"/>
    </row>
    <row r="983" spans="1:16" ht="15.75" thickBot="1">
      <c r="C983" s="128"/>
      <c r="D983" s="47"/>
      <c r="E983" s="3"/>
      <c r="F983" s="3"/>
      <c r="G983" s="3"/>
      <c r="H983" s="479"/>
      <c r="I983" s="479"/>
      <c r="J983" s="492"/>
      <c r="K983" s="479"/>
      <c r="L983" s="479"/>
      <c r="M983" s="479"/>
      <c r="N983" s="479"/>
      <c r="O983" s="3"/>
    </row>
    <row r="984" spans="1:16" ht="15.75">
      <c r="C984" s="440" t="s">
        <v>95</v>
      </c>
      <c r="D984" s="47"/>
      <c r="E984" s="3"/>
      <c r="F984" s="3"/>
      <c r="G984" s="555"/>
      <c r="H984" s="3" t="s">
        <v>74</v>
      </c>
      <c r="I984" s="3"/>
      <c r="J984" s="3"/>
      <c r="K984" s="498" t="s">
        <v>99</v>
      </c>
      <c r="L984" s="499"/>
      <c r="M984" s="500"/>
      <c r="N984" s="501">
        <f>IF(I990=0,0,VLOOKUP(I990,C997:O1056,5))</f>
        <v>3032604.8808221957</v>
      </c>
      <c r="O984" s="3"/>
    </row>
    <row r="985" spans="1:16" ht="15.75">
      <c r="C985" s="440"/>
      <c r="D985" s="47"/>
      <c r="E985" s="3"/>
      <c r="F985" s="3"/>
      <c r="G985" s="3"/>
      <c r="H985" s="502"/>
      <c r="I985" s="502"/>
      <c r="J985" s="503"/>
      <c r="K985" s="504" t="s">
        <v>100</v>
      </c>
      <c r="L985" s="505"/>
      <c r="M985" s="3"/>
      <c r="N985" s="506">
        <f>IF(I990=0,0,VLOOKUP(I990,C997:O1056,6))</f>
        <v>3032604.8808221957</v>
      </c>
      <c r="O985" s="3"/>
    </row>
    <row r="986" spans="1:16" ht="13.5" thickBot="1">
      <c r="C986" s="507" t="s">
        <v>96</v>
      </c>
      <c r="D986" s="1196" t="s">
        <v>913</v>
      </c>
      <c r="E986" s="1196"/>
      <c r="F986" s="1196"/>
      <c r="G986" s="1196"/>
      <c r="H986" s="1196"/>
      <c r="I986" s="1196"/>
      <c r="J986" s="492"/>
      <c r="K986" s="508" t="s">
        <v>238</v>
      </c>
      <c r="L986" s="509"/>
      <c r="M986" s="509"/>
      <c r="N986" s="510">
        <f>+N985-N984</f>
        <v>0</v>
      </c>
      <c r="O986" s="3"/>
    </row>
    <row r="987" spans="1:16">
      <c r="C987" s="511"/>
      <c r="D987" s="1196"/>
      <c r="E987" s="1196"/>
      <c r="F987" s="1196"/>
      <c r="G987" s="1196"/>
      <c r="H987" s="1196"/>
      <c r="I987" s="1196"/>
      <c r="J987" s="492"/>
      <c r="K987" s="479"/>
      <c r="L987" s="479"/>
      <c r="M987" s="479"/>
      <c r="N987" s="479"/>
      <c r="O987" s="3"/>
    </row>
    <row r="988" spans="1:16" ht="13.5" thickBot="1">
      <c r="C988" s="511"/>
      <c r="D988" s="3"/>
      <c r="E988" s="513"/>
      <c r="F988" s="513"/>
      <c r="G988" s="513"/>
      <c r="H988" s="513"/>
      <c r="I988" s="513"/>
      <c r="J988" s="513"/>
      <c r="K988" s="513"/>
      <c r="L988" s="513"/>
      <c r="M988" s="513"/>
      <c r="N988" s="513"/>
      <c r="O988" s="3"/>
    </row>
    <row r="989" spans="1:16" ht="13.5" thickBot="1">
      <c r="C989" s="514" t="s">
        <v>97</v>
      </c>
      <c r="D989" s="515"/>
      <c r="E989" s="515"/>
      <c r="F989" s="515"/>
      <c r="G989" s="515"/>
      <c r="H989" s="515"/>
      <c r="I989" s="516"/>
      <c r="K989" s="3"/>
      <c r="L989" s="3"/>
      <c r="M989" s="3"/>
      <c r="N989" s="3"/>
      <c r="O989" s="3"/>
    </row>
    <row r="990" spans="1:16" ht="15">
      <c r="C990" s="517" t="s">
        <v>75</v>
      </c>
      <c r="D990" s="936">
        <v>23928051.710000001</v>
      </c>
      <c r="E990" s="3" t="s">
        <v>76</v>
      </c>
      <c r="G990" s="47"/>
      <c r="H990" s="47"/>
      <c r="I990" s="518">
        <f>$L$26</f>
        <v>2026</v>
      </c>
      <c r="J990" s="70"/>
      <c r="K990" s="1186" t="s">
        <v>247</v>
      </c>
      <c r="L990" s="1186"/>
      <c r="M990" s="1186"/>
      <c r="N990" s="1186"/>
      <c r="O990" s="1186"/>
    </row>
    <row r="991" spans="1:16">
      <c r="C991" s="517" t="s">
        <v>78</v>
      </c>
      <c r="D991" s="558">
        <v>2022</v>
      </c>
      <c r="E991" s="517" t="s">
        <v>79</v>
      </c>
      <c r="F991" s="47"/>
      <c r="H991"/>
      <c r="I991" s="559">
        <f>IF(G984="",0,$F$17)</f>
        <v>0</v>
      </c>
      <c r="J991" s="519"/>
      <c r="K991" s="492" t="s">
        <v>247</v>
      </c>
    </row>
    <row r="992" spans="1:16">
      <c r="C992" s="517" t="s">
        <v>80</v>
      </c>
      <c r="D992" s="937">
        <v>4</v>
      </c>
      <c r="E992" s="517" t="s">
        <v>81</v>
      </c>
      <c r="F992" s="47"/>
      <c r="H992"/>
      <c r="I992" s="520">
        <f>$G$70</f>
        <v>0.11191367266500543</v>
      </c>
      <c r="J992" s="478"/>
      <c r="K992" t="str">
        <f>"          INPUT PROJECTED ARR (WITH &amp; WITHOUT INCENTIVES) FROM EACH PRIOR YEAR"</f>
        <v xml:space="preserve">          INPUT PROJECTED ARR (WITH &amp; WITHOUT INCENTIVES) FROM EACH PRIOR YEAR</v>
      </c>
    </row>
    <row r="993" spans="2:15">
      <c r="C993" s="517" t="s">
        <v>82</v>
      </c>
      <c r="D993" s="521">
        <f>$G$79</f>
        <v>36</v>
      </c>
      <c r="E993" s="517" t="s">
        <v>83</v>
      </c>
      <c r="F993" s="47"/>
      <c r="H993"/>
      <c r="I993" s="520">
        <f>IF(G984="",I992,$G$69)</f>
        <v>0.11191367266500543</v>
      </c>
      <c r="J993" s="478"/>
      <c r="K993" t="s">
        <v>160</v>
      </c>
    </row>
    <row r="994" spans="2:15" ht="13.5" thickBot="1">
      <c r="C994" s="517" t="s">
        <v>84</v>
      </c>
      <c r="D994" s="556" t="s">
        <v>810</v>
      </c>
      <c r="E994" s="522" t="s">
        <v>85</v>
      </c>
      <c r="F994" s="523"/>
      <c r="G994" s="524"/>
      <c r="H994" s="524"/>
      <c r="I994" s="510">
        <f>IF(D990=0,0,D990/D993)</f>
        <v>664668.10305555561</v>
      </c>
      <c r="J994" s="492"/>
      <c r="K994" s="492" t="s">
        <v>166</v>
      </c>
      <c r="L994" s="492"/>
      <c r="M994" s="492"/>
      <c r="N994" s="492"/>
      <c r="O994" s="3"/>
    </row>
    <row r="995" spans="2:15" ht="51">
      <c r="B995" s="439"/>
      <c r="C995" s="525" t="s">
        <v>75</v>
      </c>
      <c r="D995" s="526" t="s">
        <v>86</v>
      </c>
      <c r="E995" s="527" t="s">
        <v>87</v>
      </c>
      <c r="F995" s="526" t="s">
        <v>88</v>
      </c>
      <c r="G995" s="527" t="s">
        <v>159</v>
      </c>
      <c r="H995" s="528" t="s">
        <v>159</v>
      </c>
      <c r="I995" s="525" t="s">
        <v>98</v>
      </c>
      <c r="J995" s="529"/>
      <c r="K995" s="527" t="s">
        <v>168</v>
      </c>
      <c r="L995" s="530"/>
      <c r="M995" s="527" t="s">
        <v>168</v>
      </c>
      <c r="N995" s="530"/>
      <c r="O995" s="530"/>
    </row>
    <row r="996" spans="2:15" ht="13.5" thickBot="1">
      <c r="C996" s="531" t="s">
        <v>475</v>
      </c>
      <c r="D996" s="532" t="s">
        <v>476</v>
      </c>
      <c r="E996" s="531" t="s">
        <v>369</v>
      </c>
      <c r="F996" s="532" t="s">
        <v>476</v>
      </c>
      <c r="G996" s="533" t="s">
        <v>101</v>
      </c>
      <c r="H996" s="534" t="s">
        <v>103</v>
      </c>
      <c r="I996" s="531" t="s">
        <v>15</v>
      </c>
      <c r="J996" s="535"/>
      <c r="K996" s="533" t="s">
        <v>90</v>
      </c>
      <c r="L996" s="536"/>
      <c r="M996" s="533" t="s">
        <v>103</v>
      </c>
      <c r="N996" s="536"/>
      <c r="O996" s="536"/>
    </row>
    <row r="997" spans="2:15">
      <c r="C997" s="537">
        <f>IF(D991= "","-",D991)</f>
        <v>2022</v>
      </c>
      <c r="D997" s="495">
        <f>+D990</f>
        <v>23928051.710000001</v>
      </c>
      <c r="E997" s="538">
        <f>+I994/12*(12-D992)</f>
        <v>443112.06870370376</v>
      </c>
      <c r="F997" s="495">
        <f>+D997-E997</f>
        <v>23484939.641296297</v>
      </c>
      <c r="G997" s="705">
        <f>+$I$96*((D997+F997)/2)+E997</f>
        <v>3096193.0657825572</v>
      </c>
      <c r="H997" s="706">
        <f>$I$97*((D997+F997)/2)+E997</f>
        <v>3096193.0657825572</v>
      </c>
      <c r="I997" s="541">
        <f>+H997-G997</f>
        <v>0</v>
      </c>
      <c r="J997" s="541"/>
      <c r="K997" s="560"/>
      <c r="L997" s="542"/>
      <c r="M997" s="560"/>
      <c r="N997" s="542"/>
      <c r="O997" s="542"/>
    </row>
    <row r="998" spans="2:15">
      <c r="C998" s="537">
        <f>IF(D991="","-",+C997+1)</f>
        <v>2023</v>
      </c>
      <c r="D998" s="495">
        <f t="shared" ref="D998:D1056" si="60">F997</f>
        <v>23484939.641296297</v>
      </c>
      <c r="E998" s="538">
        <f>IF(D998&gt;$I$994,$I$994,D998)</f>
        <v>664668.10305555561</v>
      </c>
      <c r="F998" s="495">
        <f t="shared" ref="F998:F1056" si="61">+D998-E998</f>
        <v>22820271.538240742</v>
      </c>
      <c r="G998" s="543">
        <f t="shared" ref="G998:G1056" si="62">+$I$96*((D998+F998)/2)+E998</f>
        <v>3255761.226370885</v>
      </c>
      <c r="H998" s="544">
        <f t="shared" ref="H998:H1056" si="63">$I$97*((D998+F998)/2)+E998</f>
        <v>3255761.226370885</v>
      </c>
      <c r="I998" s="541">
        <f t="shared" ref="I998:I1056" si="64">+H998-G998</f>
        <v>0</v>
      </c>
      <c r="J998" s="541"/>
      <c r="K998" s="561">
        <v>2656998.96430729</v>
      </c>
      <c r="L998" s="545"/>
      <c r="M998" s="561">
        <v>2656998.96430729</v>
      </c>
      <c r="N998" s="545"/>
      <c r="O998" s="545"/>
    </row>
    <row r="999" spans="2:15">
      <c r="C999" s="537">
        <f>IF(D991="","-",+C998+1)</f>
        <v>2024</v>
      </c>
      <c r="D999" s="495">
        <f t="shared" si="60"/>
        <v>22820271.538240742</v>
      </c>
      <c r="E999" s="538">
        <f t="shared" ref="E999:E1056" si="65">IF(D999&gt;$I$994,$I$994,D999)</f>
        <v>664668.10305555561</v>
      </c>
      <c r="F999" s="495">
        <f t="shared" si="61"/>
        <v>22155603.435185187</v>
      </c>
      <c r="G999" s="543">
        <f t="shared" si="62"/>
        <v>3181375.7778546549</v>
      </c>
      <c r="H999" s="544">
        <f t="shared" si="63"/>
        <v>3181375.7778546549</v>
      </c>
      <c r="I999" s="541">
        <f t="shared" si="64"/>
        <v>0</v>
      </c>
      <c r="J999" s="541"/>
      <c r="K999" s="561">
        <v>3172730.5768298288</v>
      </c>
      <c r="L999" s="545"/>
      <c r="M999" s="561">
        <v>3172730.5768298288</v>
      </c>
      <c r="N999" s="545"/>
      <c r="O999" s="545"/>
    </row>
    <row r="1000" spans="2:15">
      <c r="C1000" s="537">
        <f>IF(D991="","-",+C999+1)</f>
        <v>2025</v>
      </c>
      <c r="D1000" s="495">
        <f t="shared" si="60"/>
        <v>22155603.435185187</v>
      </c>
      <c r="E1000" s="538">
        <f t="shared" si="65"/>
        <v>664668.10305555561</v>
      </c>
      <c r="F1000" s="495">
        <f t="shared" si="61"/>
        <v>21490935.332129631</v>
      </c>
      <c r="G1000" s="543">
        <f t="shared" si="62"/>
        <v>3106990.3293384258</v>
      </c>
      <c r="H1000" s="544">
        <f t="shared" si="63"/>
        <v>3106990.3293384258</v>
      </c>
      <c r="I1000" s="541">
        <f t="shared" si="64"/>
        <v>0</v>
      </c>
      <c r="J1000" s="541"/>
      <c r="K1000" s="561">
        <v>3148735.8169052927</v>
      </c>
      <c r="L1000" s="545"/>
      <c r="M1000" s="561">
        <v>3148735.8169052927</v>
      </c>
      <c r="N1000" s="545"/>
      <c r="O1000" s="545"/>
    </row>
    <row r="1001" spans="2:15">
      <c r="C1001" s="935">
        <f>IF(D991="","-",+C1000+1)</f>
        <v>2026</v>
      </c>
      <c r="D1001" s="495">
        <f t="shared" si="60"/>
        <v>21490935.332129631</v>
      </c>
      <c r="E1001" s="538">
        <f t="shared" si="65"/>
        <v>664668.10305555561</v>
      </c>
      <c r="F1001" s="495">
        <f t="shared" si="61"/>
        <v>20826267.229074076</v>
      </c>
      <c r="G1001" s="543">
        <f t="shared" si="62"/>
        <v>3032604.8808221957</v>
      </c>
      <c r="H1001" s="544">
        <f t="shared" si="63"/>
        <v>3032604.8808221957</v>
      </c>
      <c r="I1001" s="541">
        <f t="shared" si="64"/>
        <v>0</v>
      </c>
      <c r="J1001" s="541"/>
      <c r="K1001" s="561"/>
      <c r="L1001" s="545"/>
      <c r="M1001" s="561"/>
      <c r="N1001" s="545"/>
      <c r="O1001" s="545"/>
    </row>
    <row r="1002" spans="2:15">
      <c r="C1002" s="943">
        <f>IF(D991="","-",+C1001+1)</f>
        <v>2027</v>
      </c>
      <c r="D1002" s="495">
        <f t="shared" si="60"/>
        <v>20826267.229074076</v>
      </c>
      <c r="E1002" s="538">
        <f t="shared" si="65"/>
        <v>664668.10305555561</v>
      </c>
      <c r="F1002" s="495">
        <f t="shared" si="61"/>
        <v>20161599.12601852</v>
      </c>
      <c r="G1002" s="543">
        <f t="shared" si="62"/>
        <v>2958219.4323059665</v>
      </c>
      <c r="H1002" s="544">
        <f t="shared" si="63"/>
        <v>2958219.4323059665</v>
      </c>
      <c r="I1002" s="541">
        <f t="shared" si="64"/>
        <v>0</v>
      </c>
      <c r="J1002" s="541"/>
      <c r="K1002" s="561"/>
      <c r="L1002" s="545"/>
      <c r="M1002" s="561"/>
      <c r="N1002" s="545"/>
      <c r="O1002" s="545"/>
    </row>
    <row r="1003" spans="2:15">
      <c r="C1003" s="943">
        <f>IF(D991="","-",+C1002+1)</f>
        <v>2028</v>
      </c>
      <c r="D1003" s="495">
        <f t="shared" si="60"/>
        <v>20161599.12601852</v>
      </c>
      <c r="E1003" s="538">
        <f t="shared" si="65"/>
        <v>664668.10305555561</v>
      </c>
      <c r="F1003" s="495">
        <f t="shared" si="61"/>
        <v>19496931.022962965</v>
      </c>
      <c r="G1003" s="543">
        <f t="shared" si="62"/>
        <v>2883833.9837897373</v>
      </c>
      <c r="H1003" s="544">
        <f t="shared" si="63"/>
        <v>2883833.9837897373</v>
      </c>
      <c r="I1003" s="541">
        <f t="shared" si="64"/>
        <v>0</v>
      </c>
      <c r="J1003" s="541"/>
      <c r="K1003" s="561"/>
      <c r="L1003" s="545"/>
      <c r="M1003" s="561"/>
      <c r="N1003" s="545"/>
      <c r="O1003" s="545"/>
    </row>
    <row r="1004" spans="2:15">
      <c r="C1004" s="537">
        <f>IF(D991="","-",+C1003+1)</f>
        <v>2029</v>
      </c>
      <c r="D1004" s="495">
        <f t="shared" si="60"/>
        <v>19496931.022962965</v>
      </c>
      <c r="E1004" s="538">
        <f t="shared" si="65"/>
        <v>664668.10305555561</v>
      </c>
      <c r="F1004" s="495">
        <f t="shared" si="61"/>
        <v>18832262.91990741</v>
      </c>
      <c r="G1004" s="543">
        <f t="shared" si="62"/>
        <v>2809448.5352735082</v>
      </c>
      <c r="H1004" s="544">
        <f t="shared" si="63"/>
        <v>2809448.5352735082</v>
      </c>
      <c r="I1004" s="541">
        <f t="shared" si="64"/>
        <v>0</v>
      </c>
      <c r="J1004" s="541"/>
      <c r="K1004" s="561"/>
      <c r="L1004" s="545"/>
      <c r="M1004" s="561"/>
      <c r="N1004" s="545"/>
      <c r="O1004" s="545"/>
    </row>
    <row r="1005" spans="2:15">
      <c r="C1005" s="537">
        <f>IF(D991="","-",+C1004+1)</f>
        <v>2030</v>
      </c>
      <c r="D1005" s="495">
        <f t="shared" si="60"/>
        <v>18832262.91990741</v>
      </c>
      <c r="E1005" s="538">
        <f t="shared" si="65"/>
        <v>664668.10305555561</v>
      </c>
      <c r="F1005" s="495">
        <f t="shared" si="61"/>
        <v>18167594.816851854</v>
      </c>
      <c r="G1005" s="543">
        <f t="shared" si="62"/>
        <v>2735063.0867572781</v>
      </c>
      <c r="H1005" s="544">
        <f t="shared" si="63"/>
        <v>2735063.0867572781</v>
      </c>
      <c r="I1005" s="541">
        <f t="shared" si="64"/>
        <v>0</v>
      </c>
      <c r="J1005" s="541"/>
      <c r="K1005" s="561"/>
      <c r="L1005" s="545"/>
      <c r="M1005" s="561"/>
      <c r="N1005" s="545"/>
      <c r="O1005" s="545"/>
    </row>
    <row r="1006" spans="2:15">
      <c r="C1006" s="537">
        <f>IF(D991="","-",+C1005+1)</f>
        <v>2031</v>
      </c>
      <c r="D1006" s="495">
        <f t="shared" si="60"/>
        <v>18167594.816851854</v>
      </c>
      <c r="E1006" s="538">
        <f t="shared" si="65"/>
        <v>664668.10305555561</v>
      </c>
      <c r="F1006" s="495">
        <f t="shared" si="61"/>
        <v>17502926.713796299</v>
      </c>
      <c r="G1006" s="543">
        <f t="shared" si="62"/>
        <v>2660677.6382410489</v>
      </c>
      <c r="H1006" s="544">
        <f t="shared" si="63"/>
        <v>2660677.6382410489</v>
      </c>
      <c r="I1006" s="541">
        <f t="shared" si="64"/>
        <v>0</v>
      </c>
      <c r="J1006" s="541"/>
      <c r="K1006" s="561"/>
      <c r="L1006" s="545"/>
      <c r="M1006" s="561"/>
      <c r="N1006" s="545"/>
      <c r="O1006" s="545"/>
    </row>
    <row r="1007" spans="2:15">
      <c r="C1007" s="537">
        <f>IF(D991="","-",+C1006+1)</f>
        <v>2032</v>
      </c>
      <c r="D1007" s="495">
        <f t="shared" si="60"/>
        <v>17502926.713796299</v>
      </c>
      <c r="E1007" s="538">
        <f t="shared" si="65"/>
        <v>664668.10305555561</v>
      </c>
      <c r="F1007" s="495">
        <f t="shared" si="61"/>
        <v>16838258.610740744</v>
      </c>
      <c r="G1007" s="543">
        <f t="shared" si="62"/>
        <v>2586292.1897248188</v>
      </c>
      <c r="H1007" s="544">
        <f t="shared" si="63"/>
        <v>2586292.1897248188</v>
      </c>
      <c r="I1007" s="541">
        <f t="shared" si="64"/>
        <v>0</v>
      </c>
      <c r="J1007" s="541"/>
      <c r="K1007" s="561"/>
      <c r="L1007" s="545"/>
      <c r="M1007" s="561"/>
      <c r="N1007" s="545"/>
      <c r="O1007" s="545"/>
    </row>
    <row r="1008" spans="2:15">
      <c r="C1008" s="537">
        <f>IF(D991="","-",+C1007+1)</f>
        <v>2033</v>
      </c>
      <c r="D1008" s="495">
        <f t="shared" si="60"/>
        <v>16838258.610740744</v>
      </c>
      <c r="E1008" s="538">
        <f t="shared" si="65"/>
        <v>664668.10305555561</v>
      </c>
      <c r="F1008" s="495">
        <f t="shared" si="61"/>
        <v>16173590.507685188</v>
      </c>
      <c r="G1008" s="543">
        <f t="shared" si="62"/>
        <v>2511906.7412085896</v>
      </c>
      <c r="H1008" s="544">
        <f t="shared" si="63"/>
        <v>2511906.7412085896</v>
      </c>
      <c r="I1008" s="541">
        <f t="shared" si="64"/>
        <v>0</v>
      </c>
      <c r="J1008" s="541"/>
      <c r="K1008" s="561"/>
      <c r="L1008" s="545"/>
      <c r="M1008" s="561"/>
      <c r="N1008" s="545"/>
      <c r="O1008" s="545"/>
    </row>
    <row r="1009" spans="3:15">
      <c r="C1009" s="537">
        <f>IF(D991="","-",+C1008+1)</f>
        <v>2034</v>
      </c>
      <c r="D1009" s="495">
        <f t="shared" si="60"/>
        <v>16173590.507685188</v>
      </c>
      <c r="E1009" s="538">
        <f t="shared" si="65"/>
        <v>664668.10305555561</v>
      </c>
      <c r="F1009" s="495">
        <f t="shared" si="61"/>
        <v>15508922.404629633</v>
      </c>
      <c r="G1009" s="543">
        <f t="shared" si="62"/>
        <v>2437521.29269236</v>
      </c>
      <c r="H1009" s="544">
        <f t="shared" si="63"/>
        <v>2437521.29269236</v>
      </c>
      <c r="I1009" s="541">
        <f t="shared" si="64"/>
        <v>0</v>
      </c>
      <c r="J1009" s="541"/>
      <c r="K1009" s="561"/>
      <c r="L1009" s="545"/>
      <c r="M1009" s="561"/>
      <c r="N1009" s="546"/>
      <c r="O1009" s="545"/>
    </row>
    <row r="1010" spans="3:15">
      <c r="C1010" s="537">
        <f>IF(D991="","-",+C1009+1)</f>
        <v>2035</v>
      </c>
      <c r="D1010" s="495">
        <f t="shared" si="60"/>
        <v>15508922.404629633</v>
      </c>
      <c r="E1010" s="538">
        <f t="shared" si="65"/>
        <v>664668.10305555561</v>
      </c>
      <c r="F1010" s="495">
        <f t="shared" si="61"/>
        <v>14844254.301574077</v>
      </c>
      <c r="G1010" s="543">
        <f t="shared" si="62"/>
        <v>2363135.8441761304</v>
      </c>
      <c r="H1010" s="544">
        <f t="shared" si="63"/>
        <v>2363135.8441761304</v>
      </c>
      <c r="I1010" s="541">
        <f t="shared" si="64"/>
        <v>0</v>
      </c>
      <c r="J1010" s="541"/>
      <c r="K1010" s="561"/>
      <c r="L1010" s="545"/>
      <c r="M1010" s="561"/>
      <c r="N1010" s="545"/>
      <c r="O1010" s="545"/>
    </row>
    <row r="1011" spans="3:15">
      <c r="C1011" s="537">
        <f>IF(D991="","-",+C1010+1)</f>
        <v>2036</v>
      </c>
      <c r="D1011" s="495">
        <f t="shared" si="60"/>
        <v>14844254.301574077</v>
      </c>
      <c r="E1011" s="538">
        <f t="shared" si="65"/>
        <v>664668.10305555561</v>
      </c>
      <c r="F1011" s="495">
        <f t="shared" si="61"/>
        <v>14179586.198518522</v>
      </c>
      <c r="G1011" s="543">
        <f t="shared" si="62"/>
        <v>2288750.3956599012</v>
      </c>
      <c r="H1011" s="544">
        <f t="shared" si="63"/>
        <v>2288750.3956599012</v>
      </c>
      <c r="I1011" s="541">
        <f t="shared" si="64"/>
        <v>0</v>
      </c>
      <c r="J1011" s="541"/>
      <c r="K1011" s="561"/>
      <c r="L1011" s="545"/>
      <c r="M1011" s="561"/>
      <c r="N1011" s="545"/>
      <c r="O1011" s="545"/>
    </row>
    <row r="1012" spans="3:15">
      <c r="C1012" s="537">
        <f>IF(D991="","-",+C1011+1)</f>
        <v>2037</v>
      </c>
      <c r="D1012" s="495">
        <f t="shared" si="60"/>
        <v>14179586.198518522</v>
      </c>
      <c r="E1012" s="538">
        <f t="shared" si="65"/>
        <v>664668.10305555561</v>
      </c>
      <c r="F1012" s="495">
        <f t="shared" si="61"/>
        <v>13514918.095462967</v>
      </c>
      <c r="G1012" s="543">
        <f t="shared" si="62"/>
        <v>2214364.9471436711</v>
      </c>
      <c r="H1012" s="544">
        <f t="shared" si="63"/>
        <v>2214364.9471436711</v>
      </c>
      <c r="I1012" s="541">
        <f t="shared" si="64"/>
        <v>0</v>
      </c>
      <c r="J1012" s="541"/>
      <c r="K1012" s="561"/>
      <c r="L1012" s="545"/>
      <c r="M1012" s="561"/>
      <c r="N1012" s="545"/>
      <c r="O1012" s="545"/>
    </row>
    <row r="1013" spans="3:15">
      <c r="C1013" s="537">
        <f>IF(D991="","-",+C1012+1)</f>
        <v>2038</v>
      </c>
      <c r="D1013" s="495">
        <f t="shared" si="60"/>
        <v>13514918.095462967</v>
      </c>
      <c r="E1013" s="538">
        <f t="shared" si="65"/>
        <v>664668.10305555561</v>
      </c>
      <c r="F1013" s="495">
        <f t="shared" si="61"/>
        <v>12850249.992407411</v>
      </c>
      <c r="G1013" s="543">
        <f t="shared" si="62"/>
        <v>2139979.4986274419</v>
      </c>
      <c r="H1013" s="544">
        <f t="shared" si="63"/>
        <v>2139979.4986274419</v>
      </c>
      <c r="I1013" s="541">
        <f t="shared" si="64"/>
        <v>0</v>
      </c>
      <c r="J1013" s="541"/>
      <c r="K1013" s="561"/>
      <c r="L1013" s="545"/>
      <c r="M1013" s="561"/>
      <c r="N1013" s="545"/>
      <c r="O1013" s="545"/>
    </row>
    <row r="1014" spans="3:15">
      <c r="C1014" s="537">
        <f>IF(D991="","-",+C1013+1)</f>
        <v>2039</v>
      </c>
      <c r="D1014" s="495">
        <f t="shared" si="60"/>
        <v>12850249.992407411</v>
      </c>
      <c r="E1014" s="538">
        <f t="shared" si="65"/>
        <v>664668.10305555561</v>
      </c>
      <c r="F1014" s="495">
        <f t="shared" si="61"/>
        <v>12185581.889351856</v>
      </c>
      <c r="G1014" s="543">
        <f t="shared" si="62"/>
        <v>2065594.0501112123</v>
      </c>
      <c r="H1014" s="544">
        <f t="shared" si="63"/>
        <v>2065594.0501112123</v>
      </c>
      <c r="I1014" s="541">
        <f t="shared" si="64"/>
        <v>0</v>
      </c>
      <c r="J1014" s="541"/>
      <c r="K1014" s="561"/>
      <c r="L1014" s="545"/>
      <c r="M1014" s="561"/>
      <c r="N1014" s="545"/>
      <c r="O1014" s="545"/>
    </row>
    <row r="1015" spans="3:15">
      <c r="C1015" s="537">
        <f>IF(D991="","-",+C1014+1)</f>
        <v>2040</v>
      </c>
      <c r="D1015" s="495">
        <f t="shared" si="60"/>
        <v>12185581.889351856</v>
      </c>
      <c r="E1015" s="538">
        <f t="shared" si="65"/>
        <v>664668.10305555561</v>
      </c>
      <c r="F1015" s="495">
        <f t="shared" si="61"/>
        <v>11520913.786296301</v>
      </c>
      <c r="G1015" s="543">
        <f t="shared" si="62"/>
        <v>1991208.6015949829</v>
      </c>
      <c r="H1015" s="544">
        <f t="shared" si="63"/>
        <v>1991208.6015949829</v>
      </c>
      <c r="I1015" s="541">
        <f t="shared" si="64"/>
        <v>0</v>
      </c>
      <c r="J1015" s="541"/>
      <c r="K1015" s="561"/>
      <c r="L1015" s="545"/>
      <c r="M1015" s="561"/>
      <c r="N1015" s="545"/>
      <c r="O1015" s="545"/>
    </row>
    <row r="1016" spans="3:15">
      <c r="C1016" s="537">
        <f>IF(D991="","-",+C1015+1)</f>
        <v>2041</v>
      </c>
      <c r="D1016" s="495">
        <f t="shared" si="60"/>
        <v>11520913.786296301</v>
      </c>
      <c r="E1016" s="538">
        <f t="shared" si="65"/>
        <v>664668.10305555561</v>
      </c>
      <c r="F1016" s="495">
        <f t="shared" si="61"/>
        <v>10856245.683240745</v>
      </c>
      <c r="G1016" s="543">
        <f t="shared" si="62"/>
        <v>1916823.1530787533</v>
      </c>
      <c r="H1016" s="544">
        <f t="shared" si="63"/>
        <v>1916823.1530787533</v>
      </c>
      <c r="I1016" s="541">
        <f t="shared" si="64"/>
        <v>0</v>
      </c>
      <c r="J1016" s="541"/>
      <c r="K1016" s="561"/>
      <c r="L1016" s="545"/>
      <c r="M1016" s="561"/>
      <c r="N1016" s="545"/>
      <c r="O1016" s="545"/>
    </row>
    <row r="1017" spans="3:15">
      <c r="C1017" s="537">
        <f>IF(D991="","-",+C1016+1)</f>
        <v>2042</v>
      </c>
      <c r="D1017" s="495">
        <f t="shared" si="60"/>
        <v>10856245.683240745</v>
      </c>
      <c r="E1017" s="538">
        <f t="shared" si="65"/>
        <v>664668.10305555561</v>
      </c>
      <c r="F1017" s="495">
        <f t="shared" si="61"/>
        <v>10191577.58018519</v>
      </c>
      <c r="G1017" s="543">
        <f t="shared" si="62"/>
        <v>1842437.7045625239</v>
      </c>
      <c r="H1017" s="544">
        <f t="shared" si="63"/>
        <v>1842437.7045625239</v>
      </c>
      <c r="I1017" s="541">
        <f t="shared" si="64"/>
        <v>0</v>
      </c>
      <c r="J1017" s="541"/>
      <c r="K1017" s="561"/>
      <c r="L1017" s="545"/>
      <c r="M1017" s="561"/>
      <c r="N1017" s="545"/>
      <c r="O1017" s="545"/>
    </row>
    <row r="1018" spans="3:15">
      <c r="C1018" s="537">
        <f>IF(D991="","-",+C1017+1)</f>
        <v>2043</v>
      </c>
      <c r="D1018" s="495">
        <f t="shared" si="60"/>
        <v>10191577.58018519</v>
      </c>
      <c r="E1018" s="538">
        <f t="shared" si="65"/>
        <v>664668.10305555561</v>
      </c>
      <c r="F1018" s="495">
        <f t="shared" si="61"/>
        <v>9526909.4771296345</v>
      </c>
      <c r="G1018" s="543">
        <f t="shared" si="62"/>
        <v>1768052.2560462942</v>
      </c>
      <c r="H1018" s="544">
        <f t="shared" si="63"/>
        <v>1768052.2560462942</v>
      </c>
      <c r="I1018" s="541">
        <f t="shared" si="64"/>
        <v>0</v>
      </c>
      <c r="J1018" s="541"/>
      <c r="K1018" s="561"/>
      <c r="L1018" s="545"/>
      <c r="M1018" s="561"/>
      <c r="N1018" s="545"/>
      <c r="O1018" s="545"/>
    </row>
    <row r="1019" spans="3:15">
      <c r="C1019" s="537">
        <f>IF(D991="","-",+C1018+1)</f>
        <v>2044</v>
      </c>
      <c r="D1019" s="495">
        <f t="shared" si="60"/>
        <v>9526909.4771296345</v>
      </c>
      <c r="E1019" s="538">
        <f t="shared" si="65"/>
        <v>664668.10305555561</v>
      </c>
      <c r="F1019" s="495">
        <f t="shared" si="61"/>
        <v>8862241.3740740791</v>
      </c>
      <c r="G1019" s="543">
        <f t="shared" si="62"/>
        <v>1693666.8075300648</v>
      </c>
      <c r="H1019" s="544">
        <f t="shared" si="63"/>
        <v>1693666.8075300648</v>
      </c>
      <c r="I1019" s="541">
        <f t="shared" si="64"/>
        <v>0</v>
      </c>
      <c r="J1019" s="541"/>
      <c r="K1019" s="561"/>
      <c r="L1019" s="545"/>
      <c r="M1019" s="561"/>
      <c r="N1019" s="545"/>
      <c r="O1019" s="545"/>
    </row>
    <row r="1020" spans="3:15">
      <c r="C1020" s="537">
        <f>IF(D991="","-",+C1019+1)</f>
        <v>2045</v>
      </c>
      <c r="D1020" s="495">
        <f t="shared" si="60"/>
        <v>8862241.3740740791</v>
      </c>
      <c r="E1020" s="538">
        <f t="shared" si="65"/>
        <v>664668.10305555561</v>
      </c>
      <c r="F1020" s="495">
        <f t="shared" si="61"/>
        <v>8197573.2710185237</v>
      </c>
      <c r="G1020" s="543">
        <f t="shared" si="62"/>
        <v>1619281.3590138354</v>
      </c>
      <c r="H1020" s="544">
        <f t="shared" si="63"/>
        <v>1619281.3590138354</v>
      </c>
      <c r="I1020" s="541">
        <f t="shared" si="64"/>
        <v>0</v>
      </c>
      <c r="J1020" s="541"/>
      <c r="K1020" s="561"/>
      <c r="L1020" s="545"/>
      <c r="M1020" s="561"/>
      <c r="N1020" s="545"/>
      <c r="O1020" s="545"/>
    </row>
    <row r="1021" spans="3:15">
      <c r="C1021" s="537">
        <f>IF(D991="","-",+C1020+1)</f>
        <v>2046</v>
      </c>
      <c r="D1021" s="495">
        <f t="shared" si="60"/>
        <v>8197573.2710185237</v>
      </c>
      <c r="E1021" s="538">
        <f t="shared" si="65"/>
        <v>664668.10305555561</v>
      </c>
      <c r="F1021" s="495">
        <f t="shared" si="61"/>
        <v>7532905.1679629683</v>
      </c>
      <c r="G1021" s="543">
        <f t="shared" si="62"/>
        <v>1544895.9104976058</v>
      </c>
      <c r="H1021" s="544">
        <f t="shared" si="63"/>
        <v>1544895.9104976058</v>
      </c>
      <c r="I1021" s="541">
        <f t="shared" si="64"/>
        <v>0</v>
      </c>
      <c r="J1021" s="541"/>
      <c r="K1021" s="561"/>
      <c r="L1021" s="545"/>
      <c r="M1021" s="561"/>
      <c r="N1021" s="545"/>
      <c r="O1021" s="545"/>
    </row>
    <row r="1022" spans="3:15">
      <c r="C1022" s="537">
        <f>IF(D991="","-",+C1021+1)</f>
        <v>2047</v>
      </c>
      <c r="D1022" s="495">
        <f t="shared" si="60"/>
        <v>7532905.1679629683</v>
      </c>
      <c r="E1022" s="538">
        <f t="shared" si="65"/>
        <v>664668.10305555561</v>
      </c>
      <c r="F1022" s="495">
        <f t="shared" si="61"/>
        <v>6868237.064907413</v>
      </c>
      <c r="G1022" s="543">
        <f t="shared" si="62"/>
        <v>1470510.4619813762</v>
      </c>
      <c r="H1022" s="544">
        <f t="shared" si="63"/>
        <v>1470510.4619813762</v>
      </c>
      <c r="I1022" s="541">
        <f t="shared" si="64"/>
        <v>0</v>
      </c>
      <c r="J1022" s="541"/>
      <c r="K1022" s="561"/>
      <c r="L1022" s="545"/>
      <c r="M1022" s="561"/>
      <c r="N1022" s="545"/>
      <c r="O1022" s="545"/>
    </row>
    <row r="1023" spans="3:15">
      <c r="C1023" s="537">
        <f>IF(D991="","-",+C1022+1)</f>
        <v>2048</v>
      </c>
      <c r="D1023" s="495">
        <f t="shared" si="60"/>
        <v>6868237.064907413</v>
      </c>
      <c r="E1023" s="538">
        <f t="shared" si="65"/>
        <v>664668.10305555561</v>
      </c>
      <c r="F1023" s="495">
        <f t="shared" si="61"/>
        <v>6203568.9618518576</v>
      </c>
      <c r="G1023" s="543">
        <f t="shared" si="62"/>
        <v>1396125.0134651468</v>
      </c>
      <c r="H1023" s="544">
        <f t="shared" si="63"/>
        <v>1396125.0134651468</v>
      </c>
      <c r="I1023" s="541">
        <f t="shared" si="64"/>
        <v>0</v>
      </c>
      <c r="J1023" s="541"/>
      <c r="K1023" s="561"/>
      <c r="L1023" s="545"/>
      <c r="M1023" s="561"/>
      <c r="N1023" s="545"/>
      <c r="O1023" s="545"/>
    </row>
    <row r="1024" spans="3:15">
      <c r="C1024" s="537">
        <f>IF(D991="","-",+C1023+1)</f>
        <v>2049</v>
      </c>
      <c r="D1024" s="495">
        <f t="shared" si="60"/>
        <v>6203568.9618518576</v>
      </c>
      <c r="E1024" s="538">
        <f t="shared" si="65"/>
        <v>664668.10305555561</v>
      </c>
      <c r="F1024" s="495">
        <f t="shared" si="61"/>
        <v>5538900.8587963022</v>
      </c>
      <c r="G1024" s="543">
        <f t="shared" si="62"/>
        <v>1321739.5649489174</v>
      </c>
      <c r="H1024" s="544">
        <f t="shared" si="63"/>
        <v>1321739.5649489174</v>
      </c>
      <c r="I1024" s="541">
        <f t="shared" si="64"/>
        <v>0</v>
      </c>
      <c r="J1024" s="541"/>
      <c r="K1024" s="561"/>
      <c r="L1024" s="545"/>
      <c r="M1024" s="561"/>
      <c r="N1024" s="545"/>
      <c r="O1024" s="545"/>
    </row>
    <row r="1025" spans="3:15">
      <c r="C1025" s="537">
        <f>IF(D991="","-",+C1024+1)</f>
        <v>2050</v>
      </c>
      <c r="D1025" s="495">
        <f t="shared" si="60"/>
        <v>5538900.8587963022</v>
      </c>
      <c r="E1025" s="538">
        <f t="shared" si="65"/>
        <v>664668.10305555561</v>
      </c>
      <c r="F1025" s="495">
        <f t="shared" si="61"/>
        <v>4874232.7557407469</v>
      </c>
      <c r="G1025" s="539">
        <f t="shared" si="62"/>
        <v>1247354.1164326877</v>
      </c>
      <c r="H1025" s="544">
        <f t="shared" si="63"/>
        <v>1247354.1164326877</v>
      </c>
      <c r="I1025" s="541">
        <f t="shared" si="64"/>
        <v>0</v>
      </c>
      <c r="J1025" s="541"/>
      <c r="K1025" s="561"/>
      <c r="L1025" s="545"/>
      <c r="M1025" s="561"/>
      <c r="N1025" s="545"/>
      <c r="O1025" s="545"/>
    </row>
    <row r="1026" spans="3:15">
      <c r="C1026" s="537">
        <f>IF(D991="","-",+C1025+1)</f>
        <v>2051</v>
      </c>
      <c r="D1026" s="495">
        <f t="shared" si="60"/>
        <v>4874232.7557407469</v>
      </c>
      <c r="E1026" s="538">
        <f t="shared" si="65"/>
        <v>664668.10305555561</v>
      </c>
      <c r="F1026" s="495">
        <f t="shared" si="61"/>
        <v>4209564.6526851915</v>
      </c>
      <c r="G1026" s="543">
        <f t="shared" si="62"/>
        <v>1172968.6679164581</v>
      </c>
      <c r="H1026" s="544">
        <f t="shared" si="63"/>
        <v>1172968.6679164581</v>
      </c>
      <c r="I1026" s="541">
        <f t="shared" si="64"/>
        <v>0</v>
      </c>
      <c r="J1026" s="541"/>
      <c r="K1026" s="561"/>
      <c r="L1026" s="545"/>
      <c r="M1026" s="561"/>
      <c r="N1026" s="545"/>
      <c r="O1026" s="545"/>
    </row>
    <row r="1027" spans="3:15">
      <c r="C1027" s="537">
        <f>IF(D991="","-",+C1026+1)</f>
        <v>2052</v>
      </c>
      <c r="D1027" s="495">
        <f t="shared" si="60"/>
        <v>4209564.6526851915</v>
      </c>
      <c r="E1027" s="538">
        <f t="shared" si="65"/>
        <v>664668.10305555561</v>
      </c>
      <c r="F1027" s="495">
        <f t="shared" si="61"/>
        <v>3544896.5496296361</v>
      </c>
      <c r="G1027" s="543">
        <f t="shared" si="62"/>
        <v>1098583.2194002287</v>
      </c>
      <c r="H1027" s="544">
        <f t="shared" si="63"/>
        <v>1098583.2194002287</v>
      </c>
      <c r="I1027" s="541">
        <f t="shared" si="64"/>
        <v>0</v>
      </c>
      <c r="J1027" s="541"/>
      <c r="K1027" s="561"/>
      <c r="L1027" s="545"/>
      <c r="M1027" s="561"/>
      <c r="N1027" s="545"/>
      <c r="O1027" s="545"/>
    </row>
    <row r="1028" spans="3:15">
      <c r="C1028" s="537">
        <f>IF(D991="","-",+C1027+1)</f>
        <v>2053</v>
      </c>
      <c r="D1028" s="495">
        <f t="shared" si="60"/>
        <v>3544896.5496296361</v>
      </c>
      <c r="E1028" s="538">
        <f t="shared" si="65"/>
        <v>664668.10305555561</v>
      </c>
      <c r="F1028" s="495">
        <f t="shared" si="61"/>
        <v>2880228.4465740807</v>
      </c>
      <c r="G1028" s="543">
        <f t="shared" si="62"/>
        <v>1024197.7708839991</v>
      </c>
      <c r="H1028" s="544">
        <f t="shared" si="63"/>
        <v>1024197.7708839991</v>
      </c>
      <c r="I1028" s="541">
        <f t="shared" si="64"/>
        <v>0</v>
      </c>
      <c r="J1028" s="541"/>
      <c r="K1028" s="561"/>
      <c r="L1028" s="545"/>
      <c r="M1028" s="561"/>
      <c r="N1028" s="545"/>
      <c r="O1028" s="545"/>
    </row>
    <row r="1029" spans="3:15">
      <c r="C1029" s="537">
        <f>IF(D991="","-",+C1028+1)</f>
        <v>2054</v>
      </c>
      <c r="D1029" s="495">
        <f t="shared" si="60"/>
        <v>2880228.4465740807</v>
      </c>
      <c r="E1029" s="538">
        <f t="shared" si="65"/>
        <v>664668.10305555561</v>
      </c>
      <c r="F1029" s="495">
        <f t="shared" si="61"/>
        <v>2215560.3435185254</v>
      </c>
      <c r="G1029" s="543">
        <f t="shared" si="62"/>
        <v>949812.32236776967</v>
      </c>
      <c r="H1029" s="544">
        <f t="shared" si="63"/>
        <v>949812.32236776967</v>
      </c>
      <c r="I1029" s="541">
        <f t="shared" si="64"/>
        <v>0</v>
      </c>
      <c r="J1029" s="541"/>
      <c r="K1029" s="561"/>
      <c r="L1029" s="545"/>
      <c r="M1029" s="561"/>
      <c r="N1029" s="545"/>
      <c r="O1029" s="545"/>
    </row>
    <row r="1030" spans="3:15">
      <c r="C1030" s="537">
        <f>IF(D991="","-",+C1029+1)</f>
        <v>2055</v>
      </c>
      <c r="D1030" s="495">
        <f t="shared" si="60"/>
        <v>2215560.3435185254</v>
      </c>
      <c r="E1030" s="538">
        <f t="shared" si="65"/>
        <v>664668.10305555561</v>
      </c>
      <c r="F1030" s="495">
        <f t="shared" si="61"/>
        <v>1550892.2404629698</v>
      </c>
      <c r="G1030" s="543">
        <f t="shared" si="62"/>
        <v>875426.87385154003</v>
      </c>
      <c r="H1030" s="544">
        <f t="shared" si="63"/>
        <v>875426.87385154003</v>
      </c>
      <c r="I1030" s="541">
        <f t="shared" si="64"/>
        <v>0</v>
      </c>
      <c r="J1030" s="541"/>
      <c r="K1030" s="561"/>
      <c r="L1030" s="545"/>
      <c r="M1030" s="561"/>
      <c r="N1030" s="545"/>
      <c r="O1030" s="545"/>
    </row>
    <row r="1031" spans="3:15">
      <c r="C1031" s="537">
        <f>IF(D991="","-",+C1030+1)</f>
        <v>2056</v>
      </c>
      <c r="D1031" s="495">
        <f t="shared" si="60"/>
        <v>1550892.2404629698</v>
      </c>
      <c r="E1031" s="538">
        <f t="shared" si="65"/>
        <v>664668.10305555561</v>
      </c>
      <c r="F1031" s="495">
        <f t="shared" si="61"/>
        <v>886224.13740741415</v>
      </c>
      <c r="G1031" s="543">
        <f t="shared" si="62"/>
        <v>801041.42533531052</v>
      </c>
      <c r="H1031" s="544">
        <f t="shared" si="63"/>
        <v>801041.42533531052</v>
      </c>
      <c r="I1031" s="541">
        <f t="shared" si="64"/>
        <v>0</v>
      </c>
      <c r="J1031" s="541"/>
      <c r="K1031" s="561"/>
      <c r="L1031" s="545"/>
      <c r="M1031" s="561"/>
      <c r="N1031" s="545"/>
      <c r="O1031" s="545"/>
    </row>
    <row r="1032" spans="3:15">
      <c r="C1032" s="537">
        <f>IF(D991="","-",+C1031+1)</f>
        <v>2057</v>
      </c>
      <c r="D1032" s="495">
        <f t="shared" si="60"/>
        <v>886224.13740741415</v>
      </c>
      <c r="E1032" s="538">
        <f t="shared" si="65"/>
        <v>664668.10305555561</v>
      </c>
      <c r="F1032" s="495">
        <f t="shared" si="61"/>
        <v>221556.03435185854</v>
      </c>
      <c r="G1032" s="543">
        <f t="shared" si="62"/>
        <v>726655.976819081</v>
      </c>
      <c r="H1032" s="544">
        <f t="shared" si="63"/>
        <v>726655.976819081</v>
      </c>
      <c r="I1032" s="541">
        <f t="shared" si="64"/>
        <v>0</v>
      </c>
      <c r="J1032" s="541"/>
      <c r="K1032" s="561"/>
      <c r="L1032" s="545"/>
      <c r="M1032" s="561"/>
      <c r="N1032" s="545"/>
      <c r="O1032" s="545"/>
    </row>
    <row r="1033" spans="3:15">
      <c r="C1033" s="537">
        <f>IF(D991="","-",+C1032+1)</f>
        <v>2058</v>
      </c>
      <c r="D1033" s="495">
        <f t="shared" si="60"/>
        <v>221556.03435185854</v>
      </c>
      <c r="E1033" s="538">
        <f t="shared" si="65"/>
        <v>221556.03435185854</v>
      </c>
      <c r="F1033" s="495">
        <f t="shared" si="61"/>
        <v>0</v>
      </c>
      <c r="G1033" s="543">
        <f t="shared" si="62"/>
        <v>233953.60910456383</v>
      </c>
      <c r="H1033" s="544">
        <f t="shared" si="63"/>
        <v>233953.60910456383</v>
      </c>
      <c r="I1033" s="541">
        <f t="shared" si="64"/>
        <v>0</v>
      </c>
      <c r="J1033" s="541"/>
      <c r="K1033" s="561"/>
      <c r="L1033" s="545"/>
      <c r="M1033" s="561"/>
      <c r="N1033" s="545"/>
      <c r="O1033" s="545"/>
    </row>
    <row r="1034" spans="3:15">
      <c r="C1034" s="537">
        <f>IF(D991="","-",+C1033+1)</f>
        <v>2059</v>
      </c>
      <c r="D1034" s="495">
        <f t="shared" si="60"/>
        <v>0</v>
      </c>
      <c r="E1034" s="538">
        <f t="shared" si="65"/>
        <v>0</v>
      </c>
      <c r="F1034" s="495">
        <f t="shared" si="61"/>
        <v>0</v>
      </c>
      <c r="G1034" s="543">
        <f t="shared" si="62"/>
        <v>0</v>
      </c>
      <c r="H1034" s="544">
        <f t="shared" si="63"/>
        <v>0</v>
      </c>
      <c r="I1034" s="541">
        <f t="shared" si="64"/>
        <v>0</v>
      </c>
      <c r="J1034" s="541"/>
      <c r="K1034" s="561"/>
      <c r="L1034" s="545"/>
      <c r="M1034" s="561"/>
      <c r="N1034" s="545"/>
      <c r="O1034" s="545"/>
    </row>
    <row r="1035" spans="3:15">
      <c r="C1035" s="537">
        <f>IF(D991="","-",+C1034+1)</f>
        <v>2060</v>
      </c>
      <c r="D1035" s="495">
        <f t="shared" si="60"/>
        <v>0</v>
      </c>
      <c r="E1035" s="538">
        <f t="shared" si="65"/>
        <v>0</v>
      </c>
      <c r="F1035" s="495">
        <f t="shared" si="61"/>
        <v>0</v>
      </c>
      <c r="G1035" s="543">
        <f t="shared" si="62"/>
        <v>0</v>
      </c>
      <c r="H1035" s="544">
        <f t="shared" si="63"/>
        <v>0</v>
      </c>
      <c r="I1035" s="541">
        <f t="shared" si="64"/>
        <v>0</v>
      </c>
      <c r="J1035" s="541"/>
      <c r="K1035" s="561"/>
      <c r="L1035" s="545"/>
      <c r="M1035" s="561"/>
      <c r="N1035" s="545"/>
      <c r="O1035" s="545"/>
    </row>
    <row r="1036" spans="3:15">
      <c r="C1036" s="537">
        <f>IF(D991="","-",+C1035+1)</f>
        <v>2061</v>
      </c>
      <c r="D1036" s="495">
        <f t="shared" si="60"/>
        <v>0</v>
      </c>
      <c r="E1036" s="538">
        <f t="shared" si="65"/>
        <v>0</v>
      </c>
      <c r="F1036" s="495">
        <f t="shared" si="61"/>
        <v>0</v>
      </c>
      <c r="G1036" s="543">
        <f t="shared" si="62"/>
        <v>0</v>
      </c>
      <c r="H1036" s="544">
        <f t="shared" si="63"/>
        <v>0</v>
      </c>
      <c r="I1036" s="541">
        <f t="shared" si="64"/>
        <v>0</v>
      </c>
      <c r="J1036" s="541"/>
      <c r="K1036" s="561"/>
      <c r="L1036" s="545"/>
      <c r="M1036" s="561"/>
      <c r="N1036" s="545"/>
      <c r="O1036" s="545"/>
    </row>
    <row r="1037" spans="3:15">
      <c r="C1037" s="537">
        <f>IF(D991="","-",+C1036+1)</f>
        <v>2062</v>
      </c>
      <c r="D1037" s="495">
        <f t="shared" si="60"/>
        <v>0</v>
      </c>
      <c r="E1037" s="538">
        <f t="shared" si="65"/>
        <v>0</v>
      </c>
      <c r="F1037" s="495">
        <f t="shared" si="61"/>
        <v>0</v>
      </c>
      <c r="G1037" s="543">
        <f t="shared" si="62"/>
        <v>0</v>
      </c>
      <c r="H1037" s="544">
        <f t="shared" si="63"/>
        <v>0</v>
      </c>
      <c r="I1037" s="541">
        <f t="shared" si="64"/>
        <v>0</v>
      </c>
      <c r="J1037" s="541"/>
      <c r="K1037" s="561"/>
      <c r="L1037" s="545"/>
      <c r="M1037" s="561"/>
      <c r="N1037" s="545"/>
      <c r="O1037" s="545"/>
    </row>
    <row r="1038" spans="3:15">
      <c r="C1038" s="537">
        <f>IF(D991="","-",+C1037+1)</f>
        <v>2063</v>
      </c>
      <c r="D1038" s="495">
        <f t="shared" si="60"/>
        <v>0</v>
      </c>
      <c r="E1038" s="538">
        <f t="shared" si="65"/>
        <v>0</v>
      </c>
      <c r="F1038" s="495">
        <f t="shared" si="61"/>
        <v>0</v>
      </c>
      <c r="G1038" s="543">
        <f t="shared" si="62"/>
        <v>0</v>
      </c>
      <c r="H1038" s="544">
        <f t="shared" si="63"/>
        <v>0</v>
      </c>
      <c r="I1038" s="541">
        <f t="shared" si="64"/>
        <v>0</v>
      </c>
      <c r="J1038" s="541"/>
      <c r="K1038" s="561"/>
      <c r="L1038" s="545"/>
      <c r="M1038" s="561"/>
      <c r="N1038" s="545"/>
      <c r="O1038" s="545"/>
    </row>
    <row r="1039" spans="3:15">
      <c r="C1039" s="537">
        <f>IF(D991="","-",+C1038+1)</f>
        <v>2064</v>
      </c>
      <c r="D1039" s="495">
        <f t="shared" si="60"/>
        <v>0</v>
      </c>
      <c r="E1039" s="538">
        <f t="shared" si="65"/>
        <v>0</v>
      </c>
      <c r="F1039" s="495">
        <f t="shared" si="61"/>
        <v>0</v>
      </c>
      <c r="G1039" s="543">
        <f t="shared" si="62"/>
        <v>0</v>
      </c>
      <c r="H1039" s="544">
        <f t="shared" si="63"/>
        <v>0</v>
      </c>
      <c r="I1039" s="541">
        <f t="shared" si="64"/>
        <v>0</v>
      </c>
      <c r="J1039" s="541"/>
      <c r="K1039" s="561"/>
      <c r="L1039" s="545"/>
      <c r="M1039" s="561"/>
      <c r="N1039" s="545"/>
      <c r="O1039" s="545"/>
    </row>
    <row r="1040" spans="3:15">
      <c r="C1040" s="537">
        <f>IF(D991="","-",+C1039+1)</f>
        <v>2065</v>
      </c>
      <c r="D1040" s="495">
        <f t="shared" si="60"/>
        <v>0</v>
      </c>
      <c r="E1040" s="538">
        <f t="shared" si="65"/>
        <v>0</v>
      </c>
      <c r="F1040" s="495">
        <f t="shared" si="61"/>
        <v>0</v>
      </c>
      <c r="G1040" s="543">
        <f t="shared" si="62"/>
        <v>0</v>
      </c>
      <c r="H1040" s="544">
        <f t="shared" si="63"/>
        <v>0</v>
      </c>
      <c r="I1040" s="541">
        <f t="shared" si="64"/>
        <v>0</v>
      </c>
      <c r="J1040" s="541"/>
      <c r="K1040" s="561"/>
      <c r="L1040" s="545"/>
      <c r="M1040" s="561"/>
      <c r="N1040" s="545"/>
      <c r="O1040" s="545"/>
    </row>
    <row r="1041" spans="3:15">
      <c r="C1041" s="537">
        <f>IF(D991="","-",+C1040+1)</f>
        <v>2066</v>
      </c>
      <c r="D1041" s="495">
        <f t="shared" si="60"/>
        <v>0</v>
      </c>
      <c r="E1041" s="538">
        <f t="shared" si="65"/>
        <v>0</v>
      </c>
      <c r="F1041" s="495">
        <f t="shared" si="61"/>
        <v>0</v>
      </c>
      <c r="G1041" s="543">
        <f t="shared" si="62"/>
        <v>0</v>
      </c>
      <c r="H1041" s="544">
        <f t="shared" si="63"/>
        <v>0</v>
      </c>
      <c r="I1041" s="541">
        <f t="shared" si="64"/>
        <v>0</v>
      </c>
      <c r="J1041" s="541"/>
      <c r="K1041" s="561"/>
      <c r="L1041" s="545"/>
      <c r="M1041" s="561"/>
      <c r="N1041" s="545"/>
      <c r="O1041" s="545"/>
    </row>
    <row r="1042" spans="3:15">
      <c r="C1042" s="537">
        <f>IF(D991="","-",+C1041+1)</f>
        <v>2067</v>
      </c>
      <c r="D1042" s="495">
        <f t="shared" si="60"/>
        <v>0</v>
      </c>
      <c r="E1042" s="538">
        <f t="shared" si="65"/>
        <v>0</v>
      </c>
      <c r="F1042" s="495">
        <f t="shared" si="61"/>
        <v>0</v>
      </c>
      <c r="G1042" s="543">
        <f t="shared" si="62"/>
        <v>0</v>
      </c>
      <c r="H1042" s="544">
        <f t="shared" si="63"/>
        <v>0</v>
      </c>
      <c r="I1042" s="541">
        <f t="shared" si="64"/>
        <v>0</v>
      </c>
      <c r="J1042" s="541"/>
      <c r="K1042" s="561"/>
      <c r="L1042" s="545"/>
      <c r="M1042" s="561"/>
      <c r="N1042" s="545"/>
      <c r="O1042" s="545"/>
    </row>
    <row r="1043" spans="3:15">
      <c r="C1043" s="537">
        <f>IF(D991="","-",+C1042+1)</f>
        <v>2068</v>
      </c>
      <c r="D1043" s="495">
        <f t="shared" si="60"/>
        <v>0</v>
      </c>
      <c r="E1043" s="538">
        <f t="shared" si="65"/>
        <v>0</v>
      </c>
      <c r="F1043" s="495">
        <f t="shared" si="61"/>
        <v>0</v>
      </c>
      <c r="G1043" s="543">
        <f t="shared" si="62"/>
        <v>0</v>
      </c>
      <c r="H1043" s="544">
        <f t="shared" si="63"/>
        <v>0</v>
      </c>
      <c r="I1043" s="541">
        <f t="shared" si="64"/>
        <v>0</v>
      </c>
      <c r="J1043" s="541"/>
      <c r="K1043" s="561"/>
      <c r="L1043" s="545"/>
      <c r="M1043" s="561"/>
      <c r="N1043" s="545"/>
      <c r="O1043" s="545"/>
    </row>
    <row r="1044" spans="3:15">
      <c r="C1044" s="537">
        <f>IF(D991="","-",+C1043+1)</f>
        <v>2069</v>
      </c>
      <c r="D1044" s="495">
        <f t="shared" si="60"/>
        <v>0</v>
      </c>
      <c r="E1044" s="538">
        <f t="shared" si="65"/>
        <v>0</v>
      </c>
      <c r="F1044" s="495">
        <f t="shared" si="61"/>
        <v>0</v>
      </c>
      <c r="G1044" s="543">
        <f t="shared" si="62"/>
        <v>0</v>
      </c>
      <c r="H1044" s="544">
        <f t="shared" si="63"/>
        <v>0</v>
      </c>
      <c r="I1044" s="541">
        <f t="shared" si="64"/>
        <v>0</v>
      </c>
      <c r="J1044" s="541"/>
      <c r="K1044" s="561"/>
      <c r="L1044" s="545"/>
      <c r="M1044" s="561"/>
      <c r="N1044" s="545"/>
      <c r="O1044" s="545"/>
    </row>
    <row r="1045" spans="3:15">
      <c r="C1045" s="537">
        <f>IF(D991="","-",+C1044+1)</f>
        <v>2070</v>
      </c>
      <c r="D1045" s="495">
        <f t="shared" si="60"/>
        <v>0</v>
      </c>
      <c r="E1045" s="538">
        <f t="shared" si="65"/>
        <v>0</v>
      </c>
      <c r="F1045" s="495">
        <f t="shared" si="61"/>
        <v>0</v>
      </c>
      <c r="G1045" s="543">
        <f t="shared" si="62"/>
        <v>0</v>
      </c>
      <c r="H1045" s="544">
        <f t="shared" si="63"/>
        <v>0</v>
      </c>
      <c r="I1045" s="541">
        <f t="shared" si="64"/>
        <v>0</v>
      </c>
      <c r="J1045" s="541"/>
      <c r="K1045" s="561"/>
      <c r="L1045" s="545"/>
      <c r="M1045" s="561"/>
      <c r="N1045" s="545"/>
      <c r="O1045" s="545"/>
    </row>
    <row r="1046" spans="3:15">
      <c r="C1046" s="537">
        <f>IF(D991="","-",+C1045+1)</f>
        <v>2071</v>
      </c>
      <c r="D1046" s="495">
        <f t="shared" si="60"/>
        <v>0</v>
      </c>
      <c r="E1046" s="538">
        <f t="shared" si="65"/>
        <v>0</v>
      </c>
      <c r="F1046" s="495">
        <f t="shared" si="61"/>
        <v>0</v>
      </c>
      <c r="G1046" s="543">
        <f t="shared" si="62"/>
        <v>0</v>
      </c>
      <c r="H1046" s="544">
        <f t="shared" si="63"/>
        <v>0</v>
      </c>
      <c r="I1046" s="541">
        <f t="shared" si="64"/>
        <v>0</v>
      </c>
      <c r="J1046" s="541"/>
      <c r="K1046" s="561"/>
      <c r="L1046" s="545"/>
      <c r="M1046" s="561"/>
      <c r="N1046" s="545"/>
      <c r="O1046" s="545"/>
    </row>
    <row r="1047" spans="3:15">
      <c r="C1047" s="537">
        <f>IF(D991="","-",+C1046+1)</f>
        <v>2072</v>
      </c>
      <c r="D1047" s="495">
        <f t="shared" si="60"/>
        <v>0</v>
      </c>
      <c r="E1047" s="538">
        <f t="shared" si="65"/>
        <v>0</v>
      </c>
      <c r="F1047" s="495">
        <f t="shared" si="61"/>
        <v>0</v>
      </c>
      <c r="G1047" s="543">
        <f t="shared" si="62"/>
        <v>0</v>
      </c>
      <c r="H1047" s="544">
        <f t="shared" si="63"/>
        <v>0</v>
      </c>
      <c r="I1047" s="541">
        <f t="shared" si="64"/>
        <v>0</v>
      </c>
      <c r="J1047" s="541"/>
      <c r="K1047" s="561"/>
      <c r="L1047" s="545"/>
      <c r="M1047" s="561"/>
      <c r="N1047" s="545"/>
      <c r="O1047" s="545"/>
    </row>
    <row r="1048" spans="3:15">
      <c r="C1048" s="537">
        <f>IF(D991="","-",+C1047+1)</f>
        <v>2073</v>
      </c>
      <c r="D1048" s="495">
        <f t="shared" si="60"/>
        <v>0</v>
      </c>
      <c r="E1048" s="538">
        <f t="shared" si="65"/>
        <v>0</v>
      </c>
      <c r="F1048" s="495">
        <f t="shared" si="61"/>
        <v>0</v>
      </c>
      <c r="G1048" s="543">
        <f t="shared" si="62"/>
        <v>0</v>
      </c>
      <c r="H1048" s="544">
        <f t="shared" si="63"/>
        <v>0</v>
      </c>
      <c r="I1048" s="541">
        <f t="shared" si="64"/>
        <v>0</v>
      </c>
      <c r="J1048" s="541"/>
      <c r="K1048" s="561"/>
      <c r="L1048" s="545"/>
      <c r="M1048" s="561"/>
      <c r="N1048" s="545"/>
      <c r="O1048" s="545"/>
    </row>
    <row r="1049" spans="3:15">
      <c r="C1049" s="537">
        <f>IF(D991="","-",+C1048+1)</f>
        <v>2074</v>
      </c>
      <c r="D1049" s="495">
        <f t="shared" si="60"/>
        <v>0</v>
      </c>
      <c r="E1049" s="538">
        <f t="shared" si="65"/>
        <v>0</v>
      </c>
      <c r="F1049" s="495">
        <f t="shared" si="61"/>
        <v>0</v>
      </c>
      <c r="G1049" s="543">
        <f t="shared" si="62"/>
        <v>0</v>
      </c>
      <c r="H1049" s="544">
        <f t="shared" si="63"/>
        <v>0</v>
      </c>
      <c r="I1049" s="541">
        <f t="shared" si="64"/>
        <v>0</v>
      </c>
      <c r="J1049" s="541"/>
      <c r="K1049" s="561"/>
      <c r="L1049" s="545"/>
      <c r="M1049" s="561"/>
      <c r="N1049" s="545"/>
      <c r="O1049" s="545"/>
    </row>
    <row r="1050" spans="3:15">
      <c r="C1050" s="537">
        <f>IF(D991="","-",+C1049+1)</f>
        <v>2075</v>
      </c>
      <c r="D1050" s="495">
        <f t="shared" si="60"/>
        <v>0</v>
      </c>
      <c r="E1050" s="538">
        <f t="shared" si="65"/>
        <v>0</v>
      </c>
      <c r="F1050" s="495">
        <f t="shared" si="61"/>
        <v>0</v>
      </c>
      <c r="G1050" s="543">
        <f t="shared" si="62"/>
        <v>0</v>
      </c>
      <c r="H1050" s="544">
        <f t="shared" si="63"/>
        <v>0</v>
      </c>
      <c r="I1050" s="541">
        <f t="shared" si="64"/>
        <v>0</v>
      </c>
      <c r="J1050" s="541"/>
      <c r="K1050" s="561"/>
      <c r="L1050" s="545"/>
      <c r="M1050" s="561"/>
      <c r="N1050" s="545"/>
      <c r="O1050" s="545"/>
    </row>
    <row r="1051" spans="3:15">
      <c r="C1051" s="537">
        <f>IF(D991="","-",+C1050+1)</f>
        <v>2076</v>
      </c>
      <c r="D1051" s="495">
        <f t="shared" si="60"/>
        <v>0</v>
      </c>
      <c r="E1051" s="538">
        <f t="shared" si="65"/>
        <v>0</v>
      </c>
      <c r="F1051" s="495">
        <f t="shared" si="61"/>
        <v>0</v>
      </c>
      <c r="G1051" s="543">
        <f t="shared" si="62"/>
        <v>0</v>
      </c>
      <c r="H1051" s="544">
        <f t="shared" si="63"/>
        <v>0</v>
      </c>
      <c r="I1051" s="541">
        <f t="shared" si="64"/>
        <v>0</v>
      </c>
      <c r="J1051" s="541"/>
      <c r="K1051" s="561"/>
      <c r="L1051" s="545"/>
      <c r="M1051" s="561"/>
      <c r="N1051" s="545"/>
      <c r="O1051" s="545"/>
    </row>
    <row r="1052" spans="3:15">
      <c r="C1052" s="537">
        <f>IF(D991="","-",+C1051+1)</f>
        <v>2077</v>
      </c>
      <c r="D1052" s="495">
        <f t="shared" si="60"/>
        <v>0</v>
      </c>
      <c r="E1052" s="538">
        <f t="shared" si="65"/>
        <v>0</v>
      </c>
      <c r="F1052" s="495">
        <f t="shared" si="61"/>
        <v>0</v>
      </c>
      <c r="G1052" s="543">
        <f t="shared" si="62"/>
        <v>0</v>
      </c>
      <c r="H1052" s="544">
        <f t="shared" si="63"/>
        <v>0</v>
      </c>
      <c r="I1052" s="541">
        <f t="shared" si="64"/>
        <v>0</v>
      </c>
      <c r="J1052" s="541"/>
      <c r="K1052" s="561"/>
      <c r="L1052" s="545"/>
      <c r="M1052" s="561"/>
      <c r="N1052" s="545"/>
      <c r="O1052" s="545"/>
    </row>
    <row r="1053" spans="3:15">
      <c r="C1053" s="537">
        <f>IF(D991="","-",+C1052+1)</f>
        <v>2078</v>
      </c>
      <c r="D1053" s="495">
        <f t="shared" si="60"/>
        <v>0</v>
      </c>
      <c r="E1053" s="538">
        <f t="shared" si="65"/>
        <v>0</v>
      </c>
      <c r="F1053" s="495">
        <f t="shared" si="61"/>
        <v>0</v>
      </c>
      <c r="G1053" s="543">
        <f t="shared" si="62"/>
        <v>0</v>
      </c>
      <c r="H1053" s="544">
        <f t="shared" si="63"/>
        <v>0</v>
      </c>
      <c r="I1053" s="541">
        <f t="shared" si="64"/>
        <v>0</v>
      </c>
      <c r="J1053" s="541"/>
      <c r="K1053" s="561"/>
      <c r="L1053" s="545"/>
      <c r="M1053" s="561"/>
      <c r="N1053" s="545"/>
      <c r="O1053" s="545"/>
    </row>
    <row r="1054" spans="3:15">
      <c r="C1054" s="537">
        <f>IF(D991="","-",+C1053+1)</f>
        <v>2079</v>
      </c>
      <c r="D1054" s="495">
        <f t="shared" si="60"/>
        <v>0</v>
      </c>
      <c r="E1054" s="538">
        <f t="shared" si="65"/>
        <v>0</v>
      </c>
      <c r="F1054" s="495">
        <f t="shared" si="61"/>
        <v>0</v>
      </c>
      <c r="G1054" s="543">
        <f t="shared" si="62"/>
        <v>0</v>
      </c>
      <c r="H1054" s="544">
        <f t="shared" si="63"/>
        <v>0</v>
      </c>
      <c r="I1054" s="541">
        <f t="shared" si="64"/>
        <v>0</v>
      </c>
      <c r="J1054" s="541"/>
      <c r="K1054" s="561"/>
      <c r="L1054" s="545"/>
      <c r="M1054" s="561"/>
      <c r="N1054" s="545"/>
      <c r="O1054" s="545"/>
    </row>
    <row r="1055" spans="3:15">
      <c r="C1055" s="537">
        <f>IF(D991="","-",+C1054+1)</f>
        <v>2080</v>
      </c>
      <c r="D1055" s="495">
        <f t="shared" si="60"/>
        <v>0</v>
      </c>
      <c r="E1055" s="538">
        <f t="shared" si="65"/>
        <v>0</v>
      </c>
      <c r="F1055" s="495">
        <f t="shared" si="61"/>
        <v>0</v>
      </c>
      <c r="G1055" s="543">
        <f t="shared" si="62"/>
        <v>0</v>
      </c>
      <c r="H1055" s="544">
        <f t="shared" si="63"/>
        <v>0</v>
      </c>
      <c r="I1055" s="541">
        <f t="shared" si="64"/>
        <v>0</v>
      </c>
      <c r="J1055" s="541"/>
      <c r="K1055" s="561"/>
      <c r="L1055" s="545"/>
      <c r="M1055" s="561"/>
      <c r="N1055" s="545"/>
      <c r="O1055" s="545"/>
    </row>
    <row r="1056" spans="3:15" ht="13.5" thickBot="1">
      <c r="C1056" s="547">
        <f>IF(D991="","-",+C1055+1)</f>
        <v>2081</v>
      </c>
      <c r="D1056" s="548">
        <f t="shared" si="60"/>
        <v>0</v>
      </c>
      <c r="E1056" s="538">
        <f t="shared" si="65"/>
        <v>0</v>
      </c>
      <c r="F1056" s="548">
        <f t="shared" si="61"/>
        <v>0</v>
      </c>
      <c r="G1056" s="550">
        <f t="shared" si="62"/>
        <v>0</v>
      </c>
      <c r="H1056" s="550">
        <f t="shared" si="63"/>
        <v>0</v>
      </c>
      <c r="I1056" s="551">
        <f t="shared" si="64"/>
        <v>0</v>
      </c>
      <c r="J1056" s="541"/>
      <c r="K1056" s="562"/>
      <c r="L1056" s="552"/>
      <c r="M1056" s="562"/>
      <c r="N1056" s="552"/>
      <c r="O1056" s="552"/>
    </row>
    <row r="1057" spans="1:15">
      <c r="C1057" s="495" t="s">
        <v>91</v>
      </c>
      <c r="D1057" s="492"/>
      <c r="E1057" s="1063">
        <f>SUM(E997:E1056)</f>
        <v>23928051.710000005</v>
      </c>
      <c r="F1057" s="492"/>
      <c r="G1057" s="492">
        <f>SUM(G997:G1056)</f>
        <v>73022447.73071152</v>
      </c>
      <c r="H1057" s="492">
        <f>SUM(H997:H1056)</f>
        <v>73022447.73071152</v>
      </c>
      <c r="I1057" s="492">
        <f>SUM(I997:I1056)</f>
        <v>0</v>
      </c>
      <c r="J1057" s="492"/>
      <c r="K1057" s="492"/>
      <c r="L1057" s="492"/>
      <c r="M1057" s="492"/>
      <c r="N1057" s="492"/>
      <c r="O1057" s="3"/>
    </row>
    <row r="1058" spans="1:15">
      <c r="D1058" s="47"/>
      <c r="E1058" s="3"/>
      <c r="F1058" s="3"/>
      <c r="G1058" s="3"/>
      <c r="H1058" s="479"/>
      <c r="I1058" s="479"/>
      <c r="J1058" s="492"/>
      <c r="K1058" s="479"/>
      <c r="L1058" s="479"/>
      <c r="M1058" s="479"/>
      <c r="N1058" s="479"/>
      <c r="O1058" s="3"/>
    </row>
    <row r="1059" spans="1:15">
      <c r="C1059" s="3" t="s">
        <v>13</v>
      </c>
      <c r="D1059" s="47"/>
      <c r="E1059" s="3"/>
      <c r="F1059" s="3"/>
      <c r="G1059" s="3"/>
      <c r="H1059" s="479"/>
      <c r="I1059" s="479"/>
      <c r="J1059" s="492"/>
      <c r="K1059" s="479"/>
      <c r="L1059" s="479"/>
      <c r="M1059" s="479"/>
      <c r="N1059" s="479"/>
      <c r="O1059" s="3"/>
    </row>
    <row r="1060" spans="1:15">
      <c r="C1060" s="3"/>
      <c r="D1060" s="47"/>
      <c r="E1060" s="3"/>
      <c r="F1060" s="3"/>
      <c r="G1060" s="3"/>
      <c r="H1060" s="479"/>
      <c r="I1060" s="479"/>
      <c r="J1060" s="492"/>
      <c r="K1060" s="479"/>
      <c r="L1060" s="479"/>
      <c r="M1060" s="479"/>
      <c r="N1060" s="479"/>
      <c r="O1060" s="3"/>
    </row>
    <row r="1061" spans="1:15">
      <c r="C1061" s="507" t="s">
        <v>14</v>
      </c>
      <c r="D1061" s="495"/>
      <c r="E1061" s="495"/>
      <c r="F1061" s="495"/>
      <c r="G1061" s="492"/>
      <c r="H1061" s="492"/>
      <c r="I1061" s="553"/>
      <c r="J1061" s="553"/>
      <c r="K1061" s="553"/>
      <c r="L1061" s="553"/>
      <c r="M1061" s="553"/>
      <c r="N1061" s="553"/>
      <c r="O1061" s="3"/>
    </row>
    <row r="1062" spans="1:15">
      <c r="C1062" s="496" t="s">
        <v>271</v>
      </c>
      <c r="D1062" s="495"/>
      <c r="E1062" s="495"/>
      <c r="F1062" s="495"/>
      <c r="G1062" s="492"/>
      <c r="H1062" s="492"/>
      <c r="I1062" s="553"/>
      <c r="J1062" s="553"/>
      <c r="K1062" s="553"/>
      <c r="L1062" s="553"/>
      <c r="M1062" s="553"/>
      <c r="N1062" s="553"/>
      <c r="O1062" s="3"/>
    </row>
    <row r="1063" spans="1:15">
      <c r="C1063" s="496" t="s">
        <v>92</v>
      </c>
      <c r="D1063" s="495"/>
      <c r="E1063" s="495"/>
      <c r="F1063" s="495"/>
      <c r="G1063" s="492"/>
      <c r="H1063" s="492"/>
      <c r="I1063" s="553"/>
      <c r="J1063" s="553"/>
      <c r="K1063" s="553"/>
      <c r="L1063" s="553"/>
      <c r="M1063" s="553"/>
      <c r="N1063" s="553"/>
      <c r="O1063" s="3"/>
    </row>
    <row r="1064" spans="1:15">
      <c r="C1064" s="496"/>
      <c r="D1064" s="495"/>
      <c r="E1064" s="495"/>
      <c r="F1064" s="495"/>
      <c r="G1064" s="492"/>
      <c r="H1064" s="492"/>
      <c r="I1064" s="553"/>
      <c r="J1064" s="553"/>
      <c r="K1064" s="553"/>
      <c r="L1064" s="553"/>
      <c r="M1064" s="553"/>
      <c r="N1064" s="553"/>
      <c r="O1064" s="3"/>
    </row>
    <row r="1065" spans="1:15">
      <c r="C1065" s="1185" t="s">
        <v>6</v>
      </c>
      <c r="D1065" s="1185"/>
      <c r="E1065" s="1185"/>
      <c r="F1065" s="1185"/>
      <c r="G1065" s="1185"/>
      <c r="H1065" s="1185"/>
      <c r="I1065" s="1185"/>
      <c r="J1065" s="1185"/>
      <c r="K1065" s="1185"/>
      <c r="L1065" s="1185"/>
      <c r="M1065" s="1185"/>
      <c r="N1065" s="1185"/>
      <c r="O1065" s="1185"/>
    </row>
    <row r="1066" spans="1:15">
      <c r="C1066" s="1185"/>
      <c r="D1066" s="1185"/>
      <c r="E1066" s="1185"/>
      <c r="F1066" s="1185"/>
      <c r="G1066" s="1185"/>
      <c r="H1066" s="1185"/>
      <c r="I1066" s="1185"/>
      <c r="J1066" s="1185"/>
      <c r="K1066" s="1185"/>
      <c r="L1066" s="1185"/>
      <c r="M1066" s="1185"/>
      <c r="N1066" s="1185"/>
      <c r="O1066" s="1185"/>
    </row>
    <row r="1068" spans="1:15" ht="20.25">
      <c r="A1068" s="436" t="str">
        <f>""&amp;A992&amp;" Worksheet J -  ATRR PROJECTED Calculation for PJM Projects Charged to Benefiting Zones"</f>
        <v xml:space="preserve"> Worksheet J -  ATRR PROJECTED Calculation for PJM Projects Charged to Benefiting Zones</v>
      </c>
      <c r="B1068" s="3"/>
      <c r="C1068" s="3"/>
      <c r="D1068" s="47"/>
      <c r="E1068" s="3"/>
      <c r="F1068" s="478"/>
      <c r="G1068" s="3"/>
      <c r="H1068" s="479"/>
      <c r="K1068" s="387"/>
      <c r="L1068" s="387"/>
      <c r="M1068" s="387"/>
      <c r="N1068" s="387" t="str">
        <f>"Page "&amp;SUM(P$8:P1157)&amp;" of "</f>
        <v xml:space="preserve">Page 12 of </v>
      </c>
      <c r="O1068" s="437">
        <f>COUNT(P$8:P$56562)</f>
        <v>12</v>
      </c>
    </row>
    <row r="1069" spans="1:15" ht="20.25">
      <c r="A1069" s="436"/>
      <c r="B1069" s="3"/>
      <c r="C1069" s="3"/>
      <c r="D1069" s="47"/>
      <c r="E1069" s="3"/>
      <c r="F1069" s="478"/>
      <c r="G1069" s="3"/>
      <c r="H1069" s="479"/>
      <c r="K1069" s="387"/>
      <c r="L1069" s="387"/>
      <c r="M1069" s="387"/>
      <c r="N1069" s="387"/>
      <c r="O1069" s="437"/>
    </row>
    <row r="1070" spans="1:15" ht="18">
      <c r="B1070" s="438" t="s">
        <v>472</v>
      </c>
      <c r="C1070" s="119" t="s">
        <v>93</v>
      </c>
      <c r="D1070" s="47"/>
      <c r="E1070" s="3"/>
      <c r="F1070" s="3"/>
      <c r="G1070" s="3"/>
      <c r="H1070" s="479"/>
      <c r="I1070" s="479"/>
      <c r="J1070" s="492"/>
      <c r="K1070" s="479"/>
      <c r="L1070" s="479"/>
      <c r="M1070" s="479"/>
      <c r="N1070" s="479"/>
      <c r="O1070" s="3"/>
    </row>
    <row r="1071" spans="1:15" ht="18.75">
      <c r="B1071" s="438"/>
      <c r="C1071" s="6"/>
      <c r="D1071" s="47"/>
      <c r="E1071" s="3"/>
      <c r="F1071" s="3"/>
      <c r="G1071" s="3"/>
      <c r="H1071" s="479"/>
      <c r="I1071" s="479"/>
      <c r="J1071" s="492"/>
      <c r="K1071" s="479"/>
      <c r="L1071" s="479"/>
      <c r="M1071" s="479"/>
      <c r="N1071" s="479"/>
      <c r="O1071" s="3"/>
    </row>
    <row r="1072" spans="1:15" ht="18.75">
      <c r="B1072" s="438"/>
      <c r="C1072" s="6" t="s">
        <v>94</v>
      </c>
      <c r="D1072" s="47"/>
      <c r="E1072" s="3"/>
      <c r="F1072" s="3"/>
      <c r="G1072" s="3"/>
      <c r="H1072" s="479"/>
      <c r="I1072" s="479"/>
      <c r="J1072" s="492"/>
      <c r="K1072" s="479"/>
      <c r="L1072" s="479"/>
      <c r="M1072" s="479"/>
      <c r="N1072" s="479"/>
      <c r="O1072" s="3"/>
    </row>
    <row r="1073" spans="2:15" ht="15.75" thickBot="1">
      <c r="C1073" s="128"/>
      <c r="D1073" s="47"/>
      <c r="E1073" s="3"/>
      <c r="F1073" s="3"/>
      <c r="G1073" s="3"/>
      <c r="H1073" s="479"/>
      <c r="I1073" s="479"/>
      <c r="J1073" s="492"/>
      <c r="K1073" s="479"/>
      <c r="L1073" s="479"/>
      <c r="M1073" s="479"/>
      <c r="N1073" s="479"/>
      <c r="O1073" s="3"/>
    </row>
    <row r="1074" spans="2:15" ht="15.75">
      <c r="C1074" s="440" t="s">
        <v>95</v>
      </c>
      <c r="D1074" s="47"/>
      <c r="E1074" s="3"/>
      <c r="F1074" s="3"/>
      <c r="G1074" s="555"/>
      <c r="H1074" s="3" t="s">
        <v>74</v>
      </c>
      <c r="I1074" s="3"/>
      <c r="J1074" s="3"/>
      <c r="K1074" s="498" t="s">
        <v>99</v>
      </c>
      <c r="L1074" s="499"/>
      <c r="M1074" s="500"/>
      <c r="N1074" s="501">
        <f>IF(I1080=0,0,VLOOKUP(I1080,C1087:O1146,5))</f>
        <v>801928.18182150461</v>
      </c>
      <c r="O1074" s="3"/>
    </row>
    <row r="1075" spans="2:15" ht="15.75">
      <c r="C1075" s="440"/>
      <c r="D1075" s="47"/>
      <c r="E1075" s="3"/>
      <c r="F1075" s="3"/>
      <c r="G1075" s="3"/>
      <c r="H1075" s="502"/>
      <c r="I1075" s="502"/>
      <c r="J1075" s="503"/>
      <c r="K1075" s="504" t="s">
        <v>100</v>
      </c>
      <c r="L1075" s="505"/>
      <c r="M1075" s="3"/>
      <c r="N1075" s="506">
        <f>IF(I1080=0,0,VLOOKUP(I1080,C1087:O1146,6))</f>
        <v>801928.18182150461</v>
      </c>
      <c r="O1075" s="3"/>
    </row>
    <row r="1076" spans="2:15" ht="13.5" thickBot="1">
      <c r="C1076" s="507" t="s">
        <v>96</v>
      </c>
      <c r="D1076" s="1196" t="s">
        <v>975</v>
      </c>
      <c r="E1076" s="1196"/>
      <c r="F1076" s="1196"/>
      <c r="G1076" s="1196"/>
      <c r="H1076" s="1196"/>
      <c r="I1076" s="1196"/>
      <c r="J1076" s="492"/>
      <c r="K1076" s="508" t="s">
        <v>238</v>
      </c>
      <c r="L1076" s="509"/>
      <c r="M1076" s="509"/>
      <c r="N1076" s="510">
        <f>+N1075-N1074</f>
        <v>0</v>
      </c>
      <c r="O1076" s="3"/>
    </row>
    <row r="1077" spans="2:15">
      <c r="C1077" s="511"/>
      <c r="D1077" s="1196"/>
      <c r="E1077" s="1196"/>
      <c r="F1077" s="1196"/>
      <c r="G1077" s="1196"/>
      <c r="H1077" s="1196"/>
      <c r="I1077" s="1196"/>
      <c r="J1077" s="492"/>
      <c r="K1077" s="479"/>
      <c r="L1077" s="479"/>
      <c r="M1077" s="479"/>
      <c r="N1077" s="479"/>
      <c r="O1077" s="3"/>
    </row>
    <row r="1078" spans="2:15" ht="13.5" thickBot="1">
      <c r="C1078" s="511"/>
      <c r="D1078" s="3"/>
      <c r="E1078" s="513"/>
      <c r="F1078" s="513"/>
      <c r="G1078" s="513"/>
      <c r="H1078" s="513"/>
      <c r="I1078" s="513"/>
      <c r="J1078" s="513"/>
      <c r="K1078" s="513"/>
      <c r="L1078" s="513"/>
      <c r="M1078" s="513"/>
      <c r="N1078" s="513"/>
      <c r="O1078" s="3"/>
    </row>
    <row r="1079" spans="2:15" ht="13.5" thickBot="1">
      <c r="C1079" s="514" t="s">
        <v>97</v>
      </c>
      <c r="D1079" s="515"/>
      <c r="E1079" s="515"/>
      <c r="F1079" s="515"/>
      <c r="G1079" s="515"/>
      <c r="H1079" s="515"/>
      <c r="I1079" s="516"/>
      <c r="K1079" s="3"/>
      <c r="L1079" s="3"/>
      <c r="M1079" s="3"/>
      <c r="N1079" s="3"/>
      <c r="O1079" s="3"/>
    </row>
    <row r="1080" spans="2:15" ht="15">
      <c r="C1080" s="517" t="s">
        <v>75</v>
      </c>
      <c r="D1080" s="936">
        <v>6031534.8899999997</v>
      </c>
      <c r="E1080" s="3" t="s">
        <v>76</v>
      </c>
      <c r="G1080" s="47"/>
      <c r="H1080" s="47"/>
      <c r="I1080" s="518">
        <f>$L$26</f>
        <v>2026</v>
      </c>
      <c r="J1080" s="70"/>
      <c r="K1080" s="1186" t="s">
        <v>247</v>
      </c>
      <c r="L1080" s="1186"/>
      <c r="M1080" s="1186"/>
      <c r="N1080" s="1186"/>
      <c r="O1080" s="1186"/>
    </row>
    <row r="1081" spans="2:15">
      <c r="C1081" s="517" t="s">
        <v>78</v>
      </c>
      <c r="D1081" s="558">
        <v>2024</v>
      </c>
      <c r="E1081" s="517" t="s">
        <v>79</v>
      </c>
      <c r="F1081" s="47"/>
      <c r="H1081"/>
      <c r="I1081" s="559">
        <f>IF(G1074="",0,$F$17)</f>
        <v>0</v>
      </c>
      <c r="J1081" s="519"/>
      <c r="K1081" s="492" t="s">
        <v>247</v>
      </c>
    </row>
    <row r="1082" spans="2:15">
      <c r="C1082" s="517" t="s">
        <v>80</v>
      </c>
      <c r="D1082" s="937">
        <v>4</v>
      </c>
      <c r="E1082" s="517" t="s">
        <v>81</v>
      </c>
      <c r="F1082" s="47"/>
      <c r="H1082"/>
      <c r="I1082" s="520">
        <f>$G$70</f>
        <v>0.11191367266500543</v>
      </c>
      <c r="J1082" s="478"/>
      <c r="K1082" t="str">
        <f>"          INPUT PROJECTED ARR (WITH &amp; WITHOUT INCENTIVES) FROM EACH PRIOR YEAR"</f>
        <v xml:space="preserve">          INPUT PROJECTED ARR (WITH &amp; WITHOUT INCENTIVES) FROM EACH PRIOR YEAR</v>
      </c>
    </row>
    <row r="1083" spans="2:15">
      <c r="C1083" s="517" t="s">
        <v>82</v>
      </c>
      <c r="D1083" s="521">
        <f>$G$79</f>
        <v>36</v>
      </c>
      <c r="E1083" s="517" t="s">
        <v>83</v>
      </c>
      <c r="F1083" s="47"/>
      <c r="H1083"/>
      <c r="I1083" s="520">
        <f>IF(G1074="",I1082,$G$69)</f>
        <v>0.11191367266500543</v>
      </c>
      <c r="J1083" s="478"/>
      <c r="K1083" t="s">
        <v>160</v>
      </c>
    </row>
    <row r="1084" spans="2:15" ht="13.5" thickBot="1">
      <c r="C1084" s="517" t="s">
        <v>84</v>
      </c>
      <c r="D1084" s="556" t="s">
        <v>810</v>
      </c>
      <c r="E1084" s="522" t="s">
        <v>85</v>
      </c>
      <c r="F1084" s="523"/>
      <c r="G1084" s="524"/>
      <c r="H1084" s="524"/>
      <c r="I1084" s="510">
        <f>IF(D1080=0,0,D1080/D1083)</f>
        <v>167542.63583333333</v>
      </c>
      <c r="J1084" s="492"/>
      <c r="K1084" s="492" t="s">
        <v>166</v>
      </c>
      <c r="L1084" s="492"/>
      <c r="M1084" s="492"/>
      <c r="N1084" s="492"/>
      <c r="O1084" s="3"/>
    </row>
    <row r="1085" spans="2:15" ht="51">
      <c r="B1085" s="439"/>
      <c r="C1085" s="525" t="s">
        <v>75</v>
      </c>
      <c r="D1085" s="526" t="s">
        <v>86</v>
      </c>
      <c r="E1085" s="527" t="s">
        <v>87</v>
      </c>
      <c r="F1085" s="526" t="s">
        <v>88</v>
      </c>
      <c r="G1085" s="527" t="s">
        <v>159</v>
      </c>
      <c r="H1085" s="528" t="s">
        <v>159</v>
      </c>
      <c r="I1085" s="525" t="s">
        <v>98</v>
      </c>
      <c r="J1085" s="529"/>
      <c r="K1085" s="527" t="s">
        <v>168</v>
      </c>
      <c r="L1085" s="530"/>
      <c r="M1085" s="527" t="s">
        <v>168</v>
      </c>
      <c r="N1085" s="530"/>
      <c r="O1085" s="530"/>
    </row>
    <row r="1086" spans="2:15" ht="13.5" thickBot="1">
      <c r="C1086" s="531" t="s">
        <v>475</v>
      </c>
      <c r="D1086" s="532" t="s">
        <v>476</v>
      </c>
      <c r="E1086" s="531" t="s">
        <v>369</v>
      </c>
      <c r="F1086" s="532" t="s">
        <v>476</v>
      </c>
      <c r="G1086" s="533" t="s">
        <v>101</v>
      </c>
      <c r="H1086" s="534" t="s">
        <v>103</v>
      </c>
      <c r="I1086" s="531" t="s">
        <v>15</v>
      </c>
      <c r="J1086" s="535"/>
      <c r="K1086" s="533" t="s">
        <v>90</v>
      </c>
      <c r="L1086" s="536"/>
      <c r="M1086" s="533" t="s">
        <v>103</v>
      </c>
      <c r="N1086" s="536"/>
      <c r="O1086" s="536"/>
    </row>
    <row r="1087" spans="2:15">
      <c r="C1087" s="537">
        <f>IF(D1081= "","-",D1081)</f>
        <v>2024</v>
      </c>
      <c r="D1087" s="495">
        <f>+D1080</f>
        <v>6031534.8899999997</v>
      </c>
      <c r="E1087" s="538">
        <f>+I1084/12*(12-D1082)</f>
        <v>111695.09055555555</v>
      </c>
      <c r="F1087" s="495">
        <f>+D1087-E1087</f>
        <v>5919839.7994444445</v>
      </c>
      <c r="G1087" s="705">
        <f>+$I$96*((D1087+F1087)/2)+E1087</f>
        <v>780456.20800121385</v>
      </c>
      <c r="H1087" s="706">
        <f>$I$97*((D1087+F1087)/2)+E1087</f>
        <v>780456.20800121385</v>
      </c>
      <c r="I1087" s="541">
        <f>+H1087-G1087</f>
        <v>0</v>
      </c>
      <c r="J1087" s="541"/>
      <c r="K1087" s="560">
        <v>790848.96678198583</v>
      </c>
      <c r="L1087" s="542"/>
      <c r="M1087" s="561">
        <v>790848.96678198583</v>
      </c>
      <c r="N1087" s="542"/>
      <c r="O1087" s="542"/>
    </row>
    <row r="1088" spans="2:15">
      <c r="C1088" s="537">
        <f>IF(D1081="","-",+C1087+1)</f>
        <v>2025</v>
      </c>
      <c r="D1088" s="495">
        <f t="shared" ref="D1088:D1146" si="66">F1087</f>
        <v>5919839.7994444445</v>
      </c>
      <c r="E1088" s="538">
        <f>IF(D1088&gt;$I$1084,$I$1084,D1088)</f>
        <v>167542.63583333333</v>
      </c>
      <c r="F1088" s="495">
        <f t="shared" ref="F1088:F1146" si="67">+D1088-E1088</f>
        <v>5752297.1636111112</v>
      </c>
      <c r="G1088" s="543">
        <f t="shared" ref="G1088:G1146" si="68">+$I$96*((D1088+F1088)/2)+E1088</f>
        <v>820678.4935255883</v>
      </c>
      <c r="H1088" s="544">
        <f t="shared" ref="H1088:H1146" si="69">$I$97*((D1088+F1088)/2)+E1088</f>
        <v>820678.4935255883</v>
      </c>
      <c r="I1088" s="541">
        <f t="shared" ref="I1088:I1146" si="70">+H1088-G1088</f>
        <v>0</v>
      </c>
      <c r="J1088" s="541"/>
      <c r="K1088" s="561">
        <v>837625.95570337924</v>
      </c>
      <c r="L1088" s="545"/>
      <c r="M1088" s="561">
        <v>837625.95570337924</v>
      </c>
      <c r="N1088" s="545"/>
      <c r="O1088" s="545"/>
    </row>
    <row r="1089" spans="3:15">
      <c r="C1089" s="935">
        <f>IF(D1081="","-",+C1088+1)</f>
        <v>2026</v>
      </c>
      <c r="D1089" s="495">
        <f t="shared" si="66"/>
        <v>5752297.1636111112</v>
      </c>
      <c r="E1089" s="538">
        <f t="shared" ref="E1089:E1146" si="71">IF(D1089&gt;$I$1084,$I$1084,D1089)</f>
        <v>167542.63583333333</v>
      </c>
      <c r="F1089" s="495">
        <f t="shared" si="67"/>
        <v>5584754.527777778</v>
      </c>
      <c r="G1089" s="543">
        <f t="shared" si="68"/>
        <v>801928.18182150461</v>
      </c>
      <c r="H1089" s="544">
        <f t="shared" si="69"/>
        <v>801928.18182150461</v>
      </c>
      <c r="I1089" s="541">
        <f t="shared" si="70"/>
        <v>0</v>
      </c>
      <c r="J1089" s="541"/>
      <c r="K1089" s="561"/>
      <c r="L1089" s="545"/>
      <c r="M1089" s="561"/>
      <c r="N1089" s="545"/>
      <c r="O1089" s="545"/>
    </row>
    <row r="1090" spans="3:15">
      <c r="C1090" s="537">
        <f>IF(D1081="","-",+C1089+1)</f>
        <v>2027</v>
      </c>
      <c r="D1090" s="495">
        <f t="shared" si="66"/>
        <v>5584754.527777778</v>
      </c>
      <c r="E1090" s="538">
        <f t="shared" si="71"/>
        <v>167542.63583333333</v>
      </c>
      <c r="F1090" s="495">
        <f t="shared" si="67"/>
        <v>5417211.8919444447</v>
      </c>
      <c r="G1090" s="543">
        <f t="shared" si="68"/>
        <v>783177.87011742056</v>
      </c>
      <c r="H1090" s="544">
        <f t="shared" si="69"/>
        <v>783177.87011742056</v>
      </c>
      <c r="I1090" s="541">
        <f t="shared" si="70"/>
        <v>0</v>
      </c>
      <c r="J1090" s="541"/>
      <c r="K1090" s="561"/>
      <c r="L1090" s="545"/>
      <c r="M1090" s="561"/>
      <c r="N1090" s="545"/>
      <c r="O1090" s="545"/>
    </row>
    <row r="1091" spans="3:15">
      <c r="C1091" s="943">
        <f>IF(D1081="","-",+C1090+1)</f>
        <v>2028</v>
      </c>
      <c r="D1091" s="495">
        <f t="shared" si="66"/>
        <v>5417211.8919444447</v>
      </c>
      <c r="E1091" s="538">
        <f t="shared" si="71"/>
        <v>167542.63583333333</v>
      </c>
      <c r="F1091" s="495">
        <f t="shared" si="67"/>
        <v>5249669.2561111115</v>
      </c>
      <c r="G1091" s="543">
        <f t="shared" si="68"/>
        <v>764427.55841333687</v>
      </c>
      <c r="H1091" s="544">
        <f t="shared" si="69"/>
        <v>764427.55841333687</v>
      </c>
      <c r="I1091" s="541">
        <f t="shared" si="70"/>
        <v>0</v>
      </c>
      <c r="J1091" s="541"/>
      <c r="K1091" s="561"/>
      <c r="L1091" s="545"/>
      <c r="M1091" s="561"/>
      <c r="N1091" s="545"/>
      <c r="O1091" s="545"/>
    </row>
    <row r="1092" spans="3:15">
      <c r="C1092" s="943">
        <f>IF(D1081="","-",+C1091+1)</f>
        <v>2029</v>
      </c>
      <c r="D1092" s="495">
        <f t="shared" si="66"/>
        <v>5249669.2561111115</v>
      </c>
      <c r="E1092" s="538">
        <f t="shared" si="71"/>
        <v>167542.63583333333</v>
      </c>
      <c r="F1092" s="495">
        <f t="shared" si="67"/>
        <v>5082126.6202777782</v>
      </c>
      <c r="G1092" s="543">
        <f t="shared" si="68"/>
        <v>745677.24670925282</v>
      </c>
      <c r="H1092" s="544">
        <f t="shared" si="69"/>
        <v>745677.24670925282</v>
      </c>
      <c r="I1092" s="541">
        <f t="shared" si="70"/>
        <v>0</v>
      </c>
      <c r="J1092" s="541"/>
      <c r="K1092" s="561"/>
      <c r="L1092" s="545"/>
      <c r="M1092" s="561"/>
      <c r="N1092" s="545"/>
      <c r="O1092" s="545"/>
    </row>
    <row r="1093" spans="3:15">
      <c r="C1093" s="943">
        <f>IF(D1081="","-",+C1092+1)</f>
        <v>2030</v>
      </c>
      <c r="D1093" s="495">
        <f t="shared" si="66"/>
        <v>5082126.6202777782</v>
      </c>
      <c r="E1093" s="538">
        <f t="shared" si="71"/>
        <v>167542.63583333333</v>
      </c>
      <c r="F1093" s="495">
        <f t="shared" si="67"/>
        <v>4914583.984444445</v>
      </c>
      <c r="G1093" s="543">
        <f t="shared" si="68"/>
        <v>726926.93500516913</v>
      </c>
      <c r="H1093" s="544">
        <f t="shared" si="69"/>
        <v>726926.93500516913</v>
      </c>
      <c r="I1093" s="541">
        <f t="shared" si="70"/>
        <v>0</v>
      </c>
      <c r="J1093" s="541"/>
      <c r="K1093" s="561"/>
      <c r="L1093" s="545"/>
      <c r="M1093" s="561"/>
      <c r="N1093" s="545"/>
      <c r="O1093" s="545"/>
    </row>
    <row r="1094" spans="3:15">
      <c r="C1094" s="537">
        <f>IF(D1081="","-",+C1093+1)</f>
        <v>2031</v>
      </c>
      <c r="D1094" s="495">
        <f t="shared" si="66"/>
        <v>4914583.984444445</v>
      </c>
      <c r="E1094" s="538">
        <f t="shared" si="71"/>
        <v>167542.63583333333</v>
      </c>
      <c r="F1094" s="495">
        <f t="shared" si="67"/>
        <v>4747041.3486111118</v>
      </c>
      <c r="G1094" s="543">
        <f t="shared" si="68"/>
        <v>708176.62330108508</v>
      </c>
      <c r="H1094" s="544">
        <f t="shared" si="69"/>
        <v>708176.62330108508</v>
      </c>
      <c r="I1094" s="541">
        <f t="shared" si="70"/>
        <v>0</v>
      </c>
      <c r="J1094" s="541"/>
      <c r="K1094" s="561"/>
      <c r="L1094" s="545"/>
      <c r="M1094" s="561"/>
      <c r="N1094" s="545"/>
      <c r="O1094" s="545"/>
    </row>
    <row r="1095" spans="3:15">
      <c r="C1095" s="537">
        <f>IF(D1081="","-",+C1094+1)</f>
        <v>2032</v>
      </c>
      <c r="D1095" s="495">
        <f t="shared" si="66"/>
        <v>4747041.3486111118</v>
      </c>
      <c r="E1095" s="538">
        <f t="shared" si="71"/>
        <v>167542.63583333333</v>
      </c>
      <c r="F1095" s="495">
        <f t="shared" si="67"/>
        <v>4579498.7127777785</v>
      </c>
      <c r="G1095" s="543">
        <f t="shared" si="68"/>
        <v>689426.31159700139</v>
      </c>
      <c r="H1095" s="544">
        <f t="shared" si="69"/>
        <v>689426.31159700139</v>
      </c>
      <c r="I1095" s="541">
        <f t="shared" si="70"/>
        <v>0</v>
      </c>
      <c r="J1095" s="541"/>
      <c r="K1095" s="561"/>
      <c r="L1095" s="545"/>
      <c r="M1095" s="561"/>
      <c r="N1095" s="545"/>
      <c r="O1095" s="545"/>
    </row>
    <row r="1096" spans="3:15">
      <c r="C1096" s="537">
        <f>IF(D1081="","-",+C1095+1)</f>
        <v>2033</v>
      </c>
      <c r="D1096" s="495">
        <f t="shared" si="66"/>
        <v>4579498.7127777785</v>
      </c>
      <c r="E1096" s="538">
        <f t="shared" si="71"/>
        <v>167542.63583333333</v>
      </c>
      <c r="F1096" s="495">
        <f t="shared" si="67"/>
        <v>4411956.0769444453</v>
      </c>
      <c r="G1096" s="543">
        <f t="shared" si="68"/>
        <v>670675.99989291735</v>
      </c>
      <c r="H1096" s="544">
        <f t="shared" si="69"/>
        <v>670675.99989291735</v>
      </c>
      <c r="I1096" s="541">
        <f t="shared" si="70"/>
        <v>0</v>
      </c>
      <c r="J1096" s="541"/>
      <c r="K1096" s="561"/>
      <c r="L1096" s="545"/>
      <c r="M1096" s="561"/>
      <c r="N1096" s="545"/>
      <c r="O1096" s="545"/>
    </row>
    <row r="1097" spans="3:15">
      <c r="C1097" s="537">
        <f>IF(D1081="","-",+C1096+1)</f>
        <v>2034</v>
      </c>
      <c r="D1097" s="495">
        <f t="shared" si="66"/>
        <v>4411956.0769444453</v>
      </c>
      <c r="E1097" s="538">
        <f t="shared" si="71"/>
        <v>167542.63583333333</v>
      </c>
      <c r="F1097" s="495">
        <f t="shared" si="67"/>
        <v>4244413.441111112</v>
      </c>
      <c r="G1097" s="543">
        <f t="shared" si="68"/>
        <v>651925.68818883365</v>
      </c>
      <c r="H1097" s="544">
        <f t="shared" si="69"/>
        <v>651925.68818883365</v>
      </c>
      <c r="I1097" s="541">
        <f t="shared" si="70"/>
        <v>0</v>
      </c>
      <c r="J1097" s="541"/>
      <c r="K1097" s="561"/>
      <c r="L1097" s="545"/>
      <c r="M1097" s="561"/>
      <c r="N1097" s="545"/>
      <c r="O1097" s="545"/>
    </row>
    <row r="1098" spans="3:15">
      <c r="C1098" s="537">
        <f>IF(D1081="","-",+C1097+1)</f>
        <v>2035</v>
      </c>
      <c r="D1098" s="495">
        <f t="shared" si="66"/>
        <v>4244413.441111112</v>
      </c>
      <c r="E1098" s="538">
        <f t="shared" si="71"/>
        <v>167542.63583333333</v>
      </c>
      <c r="F1098" s="495">
        <f t="shared" si="67"/>
        <v>4076870.8052777788</v>
      </c>
      <c r="G1098" s="543">
        <f t="shared" si="68"/>
        <v>633175.37648474972</v>
      </c>
      <c r="H1098" s="544">
        <f t="shared" si="69"/>
        <v>633175.37648474972</v>
      </c>
      <c r="I1098" s="541">
        <f t="shared" si="70"/>
        <v>0</v>
      </c>
      <c r="J1098" s="541"/>
      <c r="K1098" s="561"/>
      <c r="L1098" s="545"/>
      <c r="M1098" s="561"/>
      <c r="N1098" s="545"/>
      <c r="O1098" s="545"/>
    </row>
    <row r="1099" spans="3:15">
      <c r="C1099" s="537">
        <f>IF(D1081="","-",+C1098+1)</f>
        <v>2036</v>
      </c>
      <c r="D1099" s="495">
        <f t="shared" si="66"/>
        <v>4076870.8052777788</v>
      </c>
      <c r="E1099" s="538">
        <f t="shared" si="71"/>
        <v>167542.63583333333</v>
      </c>
      <c r="F1099" s="495">
        <f t="shared" si="67"/>
        <v>3909328.1694444455</v>
      </c>
      <c r="G1099" s="543">
        <f t="shared" si="68"/>
        <v>614425.06478066579</v>
      </c>
      <c r="H1099" s="544">
        <f t="shared" si="69"/>
        <v>614425.06478066579</v>
      </c>
      <c r="I1099" s="541">
        <f t="shared" si="70"/>
        <v>0</v>
      </c>
      <c r="J1099" s="541"/>
      <c r="K1099" s="561"/>
      <c r="L1099" s="545"/>
      <c r="M1099" s="561"/>
      <c r="N1099" s="546"/>
      <c r="O1099" s="545"/>
    </row>
    <row r="1100" spans="3:15">
      <c r="C1100" s="537">
        <f>IF(D1081="","-",+C1099+1)</f>
        <v>2037</v>
      </c>
      <c r="D1100" s="495">
        <f t="shared" si="66"/>
        <v>3909328.1694444455</v>
      </c>
      <c r="E1100" s="538">
        <f t="shared" si="71"/>
        <v>167542.63583333333</v>
      </c>
      <c r="F1100" s="495">
        <f t="shared" si="67"/>
        <v>3741785.5336111123</v>
      </c>
      <c r="G1100" s="543">
        <f t="shared" si="68"/>
        <v>595674.75307658198</v>
      </c>
      <c r="H1100" s="544">
        <f t="shared" si="69"/>
        <v>595674.75307658198</v>
      </c>
      <c r="I1100" s="541">
        <f t="shared" si="70"/>
        <v>0</v>
      </c>
      <c r="J1100" s="541"/>
      <c r="K1100" s="561"/>
      <c r="L1100" s="545"/>
      <c r="M1100" s="561"/>
      <c r="N1100" s="545"/>
      <c r="O1100" s="545"/>
    </row>
    <row r="1101" spans="3:15">
      <c r="C1101" s="537">
        <f>IF(D1081="","-",+C1100+1)</f>
        <v>2038</v>
      </c>
      <c r="D1101" s="495">
        <f t="shared" si="66"/>
        <v>3741785.5336111123</v>
      </c>
      <c r="E1101" s="538">
        <f t="shared" si="71"/>
        <v>167542.63583333333</v>
      </c>
      <c r="F1101" s="495">
        <f t="shared" si="67"/>
        <v>3574242.897777779</v>
      </c>
      <c r="G1101" s="543">
        <f t="shared" si="68"/>
        <v>576924.44137249805</v>
      </c>
      <c r="H1101" s="544">
        <f t="shared" si="69"/>
        <v>576924.44137249805</v>
      </c>
      <c r="I1101" s="541">
        <f t="shared" si="70"/>
        <v>0</v>
      </c>
      <c r="J1101" s="541"/>
      <c r="K1101" s="561"/>
      <c r="L1101" s="545"/>
      <c r="M1101" s="561"/>
      <c r="N1101" s="545"/>
      <c r="O1101" s="545"/>
    </row>
    <row r="1102" spans="3:15">
      <c r="C1102" s="537">
        <f>IF(D1081="","-",+C1101+1)</f>
        <v>2039</v>
      </c>
      <c r="D1102" s="495">
        <f t="shared" si="66"/>
        <v>3574242.897777779</v>
      </c>
      <c r="E1102" s="538">
        <f t="shared" si="71"/>
        <v>167542.63583333333</v>
      </c>
      <c r="F1102" s="495">
        <f t="shared" si="67"/>
        <v>3406700.2619444458</v>
      </c>
      <c r="G1102" s="543">
        <f t="shared" si="68"/>
        <v>558174.12966841424</v>
      </c>
      <c r="H1102" s="544">
        <f t="shared" si="69"/>
        <v>558174.12966841424</v>
      </c>
      <c r="I1102" s="541">
        <f t="shared" si="70"/>
        <v>0</v>
      </c>
      <c r="J1102" s="541"/>
      <c r="K1102" s="561"/>
      <c r="L1102" s="545"/>
      <c r="M1102" s="561"/>
      <c r="N1102" s="545"/>
      <c r="O1102" s="545"/>
    </row>
    <row r="1103" spans="3:15">
      <c r="C1103" s="537">
        <f>IF(D1081="","-",+C1102+1)</f>
        <v>2040</v>
      </c>
      <c r="D1103" s="495">
        <f t="shared" si="66"/>
        <v>3406700.2619444458</v>
      </c>
      <c r="E1103" s="538">
        <f t="shared" si="71"/>
        <v>167542.63583333333</v>
      </c>
      <c r="F1103" s="495">
        <f t="shared" si="67"/>
        <v>3239157.6261111125</v>
      </c>
      <c r="G1103" s="543">
        <f t="shared" si="68"/>
        <v>539423.81796433032</v>
      </c>
      <c r="H1103" s="544">
        <f t="shared" si="69"/>
        <v>539423.81796433032</v>
      </c>
      <c r="I1103" s="541">
        <f t="shared" si="70"/>
        <v>0</v>
      </c>
      <c r="J1103" s="541"/>
      <c r="K1103" s="561"/>
      <c r="L1103" s="545"/>
      <c r="M1103" s="561"/>
      <c r="N1103" s="545"/>
      <c r="O1103" s="545"/>
    </row>
    <row r="1104" spans="3:15">
      <c r="C1104" s="537">
        <f>IF(D1081="","-",+C1103+1)</f>
        <v>2041</v>
      </c>
      <c r="D1104" s="495">
        <f t="shared" si="66"/>
        <v>3239157.6261111125</v>
      </c>
      <c r="E1104" s="538">
        <f t="shared" si="71"/>
        <v>167542.63583333333</v>
      </c>
      <c r="F1104" s="495">
        <f t="shared" si="67"/>
        <v>3071614.9902777793</v>
      </c>
      <c r="G1104" s="543">
        <f t="shared" si="68"/>
        <v>520673.5062602465</v>
      </c>
      <c r="H1104" s="544">
        <f t="shared" si="69"/>
        <v>520673.5062602465</v>
      </c>
      <c r="I1104" s="541">
        <f t="shared" si="70"/>
        <v>0</v>
      </c>
      <c r="J1104" s="541"/>
      <c r="K1104" s="561"/>
      <c r="L1104" s="545"/>
      <c r="M1104" s="561"/>
      <c r="N1104" s="545"/>
      <c r="O1104" s="545"/>
    </row>
    <row r="1105" spans="3:15">
      <c r="C1105" s="537">
        <f>IF(D1081="","-",+C1104+1)</f>
        <v>2042</v>
      </c>
      <c r="D1105" s="495">
        <f t="shared" si="66"/>
        <v>3071614.9902777793</v>
      </c>
      <c r="E1105" s="538">
        <f t="shared" si="71"/>
        <v>167542.63583333333</v>
      </c>
      <c r="F1105" s="495">
        <f t="shared" si="67"/>
        <v>2904072.354444446</v>
      </c>
      <c r="G1105" s="543">
        <f t="shared" si="68"/>
        <v>501923.19455616258</v>
      </c>
      <c r="H1105" s="544">
        <f t="shared" si="69"/>
        <v>501923.19455616258</v>
      </c>
      <c r="I1105" s="541">
        <f t="shared" si="70"/>
        <v>0</v>
      </c>
      <c r="J1105" s="541"/>
      <c r="K1105" s="561"/>
      <c r="L1105" s="545"/>
      <c r="M1105" s="561"/>
      <c r="N1105" s="545"/>
      <c r="O1105" s="545"/>
    </row>
    <row r="1106" spans="3:15">
      <c r="C1106" s="537">
        <f>IF(D1081="","-",+C1105+1)</f>
        <v>2043</v>
      </c>
      <c r="D1106" s="495">
        <f t="shared" si="66"/>
        <v>2904072.354444446</v>
      </c>
      <c r="E1106" s="538">
        <f t="shared" si="71"/>
        <v>167542.63583333333</v>
      </c>
      <c r="F1106" s="495">
        <f t="shared" si="67"/>
        <v>2736529.7186111128</v>
      </c>
      <c r="G1106" s="543">
        <f t="shared" si="68"/>
        <v>483172.88285207876</v>
      </c>
      <c r="H1106" s="544">
        <f t="shared" si="69"/>
        <v>483172.88285207876</v>
      </c>
      <c r="I1106" s="541">
        <f t="shared" si="70"/>
        <v>0</v>
      </c>
      <c r="J1106" s="541"/>
      <c r="K1106" s="561"/>
      <c r="L1106" s="545"/>
      <c r="M1106" s="561"/>
      <c r="N1106" s="545"/>
      <c r="O1106" s="545"/>
    </row>
    <row r="1107" spans="3:15">
      <c r="C1107" s="537">
        <f>IF(D1081="","-",+C1106+1)</f>
        <v>2044</v>
      </c>
      <c r="D1107" s="495">
        <f t="shared" si="66"/>
        <v>2736529.7186111128</v>
      </c>
      <c r="E1107" s="538">
        <f t="shared" si="71"/>
        <v>167542.63583333333</v>
      </c>
      <c r="F1107" s="495">
        <f t="shared" si="67"/>
        <v>2568987.0827777795</v>
      </c>
      <c r="G1107" s="543">
        <f t="shared" si="68"/>
        <v>464422.57114799495</v>
      </c>
      <c r="H1107" s="544">
        <f t="shared" si="69"/>
        <v>464422.57114799495</v>
      </c>
      <c r="I1107" s="541">
        <f t="shared" si="70"/>
        <v>0</v>
      </c>
      <c r="J1107" s="541"/>
      <c r="K1107" s="561"/>
      <c r="L1107" s="545"/>
      <c r="M1107" s="561"/>
      <c r="N1107" s="545"/>
      <c r="O1107" s="545"/>
    </row>
    <row r="1108" spans="3:15">
      <c r="C1108" s="537">
        <f>IF(D1081="","-",+C1107+1)</f>
        <v>2045</v>
      </c>
      <c r="D1108" s="495">
        <f t="shared" si="66"/>
        <v>2568987.0827777795</v>
      </c>
      <c r="E1108" s="538">
        <f t="shared" si="71"/>
        <v>167542.63583333333</v>
      </c>
      <c r="F1108" s="495">
        <f t="shared" si="67"/>
        <v>2401444.4469444463</v>
      </c>
      <c r="G1108" s="543">
        <f t="shared" si="68"/>
        <v>445672.25944391103</v>
      </c>
      <c r="H1108" s="544">
        <f t="shared" si="69"/>
        <v>445672.25944391103</v>
      </c>
      <c r="I1108" s="541">
        <f t="shared" si="70"/>
        <v>0</v>
      </c>
      <c r="J1108" s="541"/>
      <c r="K1108" s="561"/>
      <c r="L1108" s="545"/>
      <c r="M1108" s="561"/>
      <c r="N1108" s="545"/>
      <c r="O1108" s="545"/>
    </row>
    <row r="1109" spans="3:15">
      <c r="C1109" s="537">
        <f>IF(D1081="","-",+C1108+1)</f>
        <v>2046</v>
      </c>
      <c r="D1109" s="495">
        <f t="shared" si="66"/>
        <v>2401444.4469444463</v>
      </c>
      <c r="E1109" s="538">
        <f t="shared" si="71"/>
        <v>167542.63583333333</v>
      </c>
      <c r="F1109" s="495">
        <f t="shared" si="67"/>
        <v>2233901.8111111131</v>
      </c>
      <c r="G1109" s="543">
        <f t="shared" si="68"/>
        <v>426921.94773982716</v>
      </c>
      <c r="H1109" s="544">
        <f t="shared" si="69"/>
        <v>426921.94773982716</v>
      </c>
      <c r="I1109" s="541">
        <f t="shared" si="70"/>
        <v>0</v>
      </c>
      <c r="J1109" s="541"/>
      <c r="K1109" s="561"/>
      <c r="L1109" s="545"/>
      <c r="M1109" s="561"/>
      <c r="N1109" s="545"/>
      <c r="O1109" s="545"/>
    </row>
    <row r="1110" spans="3:15">
      <c r="C1110" s="537">
        <f>IF(D1081="","-",+C1109+1)</f>
        <v>2047</v>
      </c>
      <c r="D1110" s="495">
        <f t="shared" si="66"/>
        <v>2233901.8111111131</v>
      </c>
      <c r="E1110" s="538">
        <f t="shared" si="71"/>
        <v>167542.63583333333</v>
      </c>
      <c r="F1110" s="495">
        <f t="shared" si="67"/>
        <v>2066359.1752777798</v>
      </c>
      <c r="G1110" s="543">
        <f t="shared" si="68"/>
        <v>408171.63603574329</v>
      </c>
      <c r="H1110" s="544">
        <f t="shared" si="69"/>
        <v>408171.63603574329</v>
      </c>
      <c r="I1110" s="541">
        <f t="shared" si="70"/>
        <v>0</v>
      </c>
      <c r="J1110" s="541"/>
      <c r="K1110" s="561"/>
      <c r="L1110" s="545"/>
      <c r="M1110" s="561"/>
      <c r="N1110" s="545"/>
      <c r="O1110" s="545"/>
    </row>
    <row r="1111" spans="3:15">
      <c r="C1111" s="537">
        <f>IF(D1081="","-",+C1110+1)</f>
        <v>2048</v>
      </c>
      <c r="D1111" s="495">
        <f t="shared" si="66"/>
        <v>2066359.1752777798</v>
      </c>
      <c r="E1111" s="538">
        <f t="shared" si="71"/>
        <v>167542.63583333333</v>
      </c>
      <c r="F1111" s="495">
        <f t="shared" si="67"/>
        <v>1898816.5394444466</v>
      </c>
      <c r="G1111" s="543">
        <f t="shared" si="68"/>
        <v>389421.32433165947</v>
      </c>
      <c r="H1111" s="544">
        <f t="shared" si="69"/>
        <v>389421.32433165947</v>
      </c>
      <c r="I1111" s="541">
        <f t="shared" si="70"/>
        <v>0</v>
      </c>
      <c r="J1111" s="541"/>
      <c r="K1111" s="561"/>
      <c r="L1111" s="545"/>
      <c r="M1111" s="561"/>
      <c r="N1111" s="545"/>
      <c r="O1111" s="545"/>
    </row>
    <row r="1112" spans="3:15">
      <c r="C1112" s="537">
        <f>IF(D1081="","-",+C1111+1)</f>
        <v>2049</v>
      </c>
      <c r="D1112" s="495">
        <f t="shared" si="66"/>
        <v>1898816.5394444466</v>
      </c>
      <c r="E1112" s="538">
        <f t="shared" si="71"/>
        <v>167542.63583333333</v>
      </c>
      <c r="F1112" s="495">
        <f t="shared" si="67"/>
        <v>1731273.9036111133</v>
      </c>
      <c r="G1112" s="543">
        <f t="shared" si="68"/>
        <v>370671.01262757555</v>
      </c>
      <c r="H1112" s="544">
        <f t="shared" si="69"/>
        <v>370671.01262757555</v>
      </c>
      <c r="I1112" s="541">
        <f t="shared" si="70"/>
        <v>0</v>
      </c>
      <c r="J1112" s="541"/>
      <c r="K1112" s="561"/>
      <c r="L1112" s="545"/>
      <c r="M1112" s="561"/>
      <c r="N1112" s="545"/>
      <c r="O1112" s="545"/>
    </row>
    <row r="1113" spans="3:15">
      <c r="C1113" s="537">
        <f>IF(D1081="","-",+C1112+1)</f>
        <v>2050</v>
      </c>
      <c r="D1113" s="495">
        <f t="shared" si="66"/>
        <v>1731273.9036111133</v>
      </c>
      <c r="E1113" s="538">
        <f t="shared" si="71"/>
        <v>167542.63583333333</v>
      </c>
      <c r="F1113" s="495">
        <f t="shared" si="67"/>
        <v>1563731.2677777801</v>
      </c>
      <c r="G1113" s="543">
        <f t="shared" si="68"/>
        <v>351920.70092349174</v>
      </c>
      <c r="H1113" s="544">
        <f t="shared" si="69"/>
        <v>351920.70092349174</v>
      </c>
      <c r="I1113" s="541">
        <f t="shared" si="70"/>
        <v>0</v>
      </c>
      <c r="J1113" s="541"/>
      <c r="K1113" s="561"/>
      <c r="L1113" s="545"/>
      <c r="M1113" s="561"/>
      <c r="N1113" s="545"/>
      <c r="O1113" s="545"/>
    </row>
    <row r="1114" spans="3:15">
      <c r="C1114" s="537">
        <f>IF(D1081="","-",+C1113+1)</f>
        <v>2051</v>
      </c>
      <c r="D1114" s="495">
        <f t="shared" si="66"/>
        <v>1563731.2677777801</v>
      </c>
      <c r="E1114" s="538">
        <f t="shared" si="71"/>
        <v>167542.63583333333</v>
      </c>
      <c r="F1114" s="495">
        <f t="shared" si="67"/>
        <v>1396188.6319444468</v>
      </c>
      <c r="G1114" s="543">
        <f t="shared" si="68"/>
        <v>333170.38921940781</v>
      </c>
      <c r="H1114" s="544">
        <f t="shared" si="69"/>
        <v>333170.38921940781</v>
      </c>
      <c r="I1114" s="541">
        <f t="shared" si="70"/>
        <v>0</v>
      </c>
      <c r="J1114" s="541"/>
      <c r="K1114" s="561"/>
      <c r="L1114" s="545"/>
      <c r="M1114" s="561"/>
      <c r="N1114" s="545"/>
      <c r="O1114" s="545"/>
    </row>
    <row r="1115" spans="3:15">
      <c r="C1115" s="537">
        <f>IF(D1081="","-",+C1114+1)</f>
        <v>2052</v>
      </c>
      <c r="D1115" s="495">
        <f t="shared" si="66"/>
        <v>1396188.6319444468</v>
      </c>
      <c r="E1115" s="538">
        <f t="shared" si="71"/>
        <v>167542.63583333333</v>
      </c>
      <c r="F1115" s="495">
        <f t="shared" si="67"/>
        <v>1228645.9961111136</v>
      </c>
      <c r="G1115" s="539">
        <f t="shared" si="68"/>
        <v>314420.077515324</v>
      </c>
      <c r="H1115" s="544">
        <f t="shared" si="69"/>
        <v>314420.077515324</v>
      </c>
      <c r="I1115" s="541">
        <f t="shared" si="70"/>
        <v>0</v>
      </c>
      <c r="J1115" s="541"/>
      <c r="K1115" s="561"/>
      <c r="L1115" s="545"/>
      <c r="M1115" s="561"/>
      <c r="N1115" s="545"/>
      <c r="O1115" s="545"/>
    </row>
    <row r="1116" spans="3:15">
      <c r="C1116" s="537">
        <f>IF(D1081="","-",+C1115+1)</f>
        <v>2053</v>
      </c>
      <c r="D1116" s="495">
        <f t="shared" si="66"/>
        <v>1228645.9961111136</v>
      </c>
      <c r="E1116" s="538">
        <f t="shared" si="71"/>
        <v>167542.63583333333</v>
      </c>
      <c r="F1116" s="495">
        <f t="shared" si="67"/>
        <v>1061103.3602777803</v>
      </c>
      <c r="G1116" s="543">
        <f t="shared" si="68"/>
        <v>295669.76581124007</v>
      </c>
      <c r="H1116" s="544">
        <f t="shared" si="69"/>
        <v>295669.76581124007</v>
      </c>
      <c r="I1116" s="541">
        <f t="shared" si="70"/>
        <v>0</v>
      </c>
      <c r="J1116" s="541"/>
      <c r="K1116" s="561"/>
      <c r="L1116" s="545"/>
      <c r="M1116" s="561"/>
      <c r="N1116" s="545"/>
      <c r="O1116" s="545"/>
    </row>
    <row r="1117" spans="3:15">
      <c r="C1117" s="537">
        <f>IF(D1081="","-",+C1116+1)</f>
        <v>2054</v>
      </c>
      <c r="D1117" s="495">
        <f t="shared" si="66"/>
        <v>1061103.3602777803</v>
      </c>
      <c r="E1117" s="538">
        <f t="shared" si="71"/>
        <v>167542.63583333333</v>
      </c>
      <c r="F1117" s="495">
        <f t="shared" si="67"/>
        <v>893560.72444444697</v>
      </c>
      <c r="G1117" s="543">
        <f t="shared" si="68"/>
        <v>276919.45410715626</v>
      </c>
      <c r="H1117" s="544">
        <f t="shared" si="69"/>
        <v>276919.45410715626</v>
      </c>
      <c r="I1117" s="541">
        <f t="shared" si="70"/>
        <v>0</v>
      </c>
      <c r="J1117" s="541"/>
      <c r="K1117" s="561"/>
      <c r="L1117" s="545"/>
      <c r="M1117" s="561"/>
      <c r="N1117" s="545"/>
      <c r="O1117" s="545"/>
    </row>
    <row r="1118" spans="3:15">
      <c r="C1118" s="537">
        <f>IF(D1081="","-",+C1117+1)</f>
        <v>2055</v>
      </c>
      <c r="D1118" s="495">
        <f t="shared" si="66"/>
        <v>893560.72444444697</v>
      </c>
      <c r="E1118" s="538">
        <f t="shared" si="71"/>
        <v>167542.63583333333</v>
      </c>
      <c r="F1118" s="495">
        <f t="shared" si="67"/>
        <v>726018.08861111361</v>
      </c>
      <c r="G1118" s="543">
        <f t="shared" si="68"/>
        <v>258169.14240307233</v>
      </c>
      <c r="H1118" s="544">
        <f t="shared" si="69"/>
        <v>258169.14240307233</v>
      </c>
      <c r="I1118" s="541">
        <f t="shared" si="70"/>
        <v>0</v>
      </c>
      <c r="J1118" s="541"/>
      <c r="K1118" s="561"/>
      <c r="L1118" s="545"/>
      <c r="M1118" s="561"/>
      <c r="N1118" s="545"/>
      <c r="O1118" s="545"/>
    </row>
    <row r="1119" spans="3:15">
      <c r="C1119" s="537">
        <f>IF(D1081="","-",+C1118+1)</f>
        <v>2056</v>
      </c>
      <c r="D1119" s="495">
        <f t="shared" si="66"/>
        <v>726018.08861111361</v>
      </c>
      <c r="E1119" s="538">
        <f t="shared" si="71"/>
        <v>167542.63583333333</v>
      </c>
      <c r="F1119" s="495">
        <f t="shared" si="67"/>
        <v>558475.45277778024</v>
      </c>
      <c r="G1119" s="543">
        <f t="shared" si="68"/>
        <v>239418.83069898846</v>
      </c>
      <c r="H1119" s="544">
        <f t="shared" si="69"/>
        <v>239418.83069898846</v>
      </c>
      <c r="I1119" s="541">
        <f t="shared" si="70"/>
        <v>0</v>
      </c>
      <c r="J1119" s="541"/>
      <c r="K1119" s="561"/>
      <c r="L1119" s="545"/>
      <c r="M1119" s="561"/>
      <c r="N1119" s="545"/>
      <c r="O1119" s="545"/>
    </row>
    <row r="1120" spans="3:15">
      <c r="C1120" s="537">
        <f>IF(D1081="","-",+C1119+1)</f>
        <v>2057</v>
      </c>
      <c r="D1120" s="495">
        <f t="shared" si="66"/>
        <v>558475.45277778024</v>
      </c>
      <c r="E1120" s="538">
        <f t="shared" si="71"/>
        <v>167542.63583333333</v>
      </c>
      <c r="F1120" s="495">
        <f t="shared" si="67"/>
        <v>390932.81694444688</v>
      </c>
      <c r="G1120" s="543">
        <f t="shared" si="68"/>
        <v>220668.51899490459</v>
      </c>
      <c r="H1120" s="544">
        <f t="shared" si="69"/>
        <v>220668.51899490459</v>
      </c>
      <c r="I1120" s="541">
        <f t="shared" si="70"/>
        <v>0</v>
      </c>
      <c r="J1120" s="541"/>
      <c r="K1120" s="561"/>
      <c r="L1120" s="545"/>
      <c r="M1120" s="561"/>
      <c r="N1120" s="545"/>
      <c r="O1120" s="545"/>
    </row>
    <row r="1121" spans="3:15">
      <c r="C1121" s="537">
        <f>IF(D1081="","-",+C1120+1)</f>
        <v>2058</v>
      </c>
      <c r="D1121" s="495">
        <f t="shared" si="66"/>
        <v>390932.81694444688</v>
      </c>
      <c r="E1121" s="538">
        <f t="shared" si="71"/>
        <v>167542.63583333333</v>
      </c>
      <c r="F1121" s="495">
        <f t="shared" si="67"/>
        <v>223390.18111111355</v>
      </c>
      <c r="G1121" s="543">
        <f t="shared" si="68"/>
        <v>201918.20729082072</v>
      </c>
      <c r="H1121" s="544">
        <f t="shared" si="69"/>
        <v>201918.20729082072</v>
      </c>
      <c r="I1121" s="541">
        <f t="shared" si="70"/>
        <v>0</v>
      </c>
      <c r="J1121" s="541"/>
      <c r="K1121" s="561"/>
      <c r="L1121" s="545"/>
      <c r="M1121" s="561"/>
      <c r="N1121" s="545"/>
      <c r="O1121" s="545"/>
    </row>
    <row r="1122" spans="3:15">
      <c r="C1122" s="537">
        <f>IF(D1081="","-",+C1121+1)</f>
        <v>2059</v>
      </c>
      <c r="D1122" s="495">
        <f t="shared" si="66"/>
        <v>223390.18111111355</v>
      </c>
      <c r="E1122" s="538">
        <f t="shared" si="71"/>
        <v>167542.63583333333</v>
      </c>
      <c r="F1122" s="495">
        <f t="shared" si="67"/>
        <v>55847.545277780213</v>
      </c>
      <c r="G1122" s="543">
        <f t="shared" si="68"/>
        <v>183167.89558673685</v>
      </c>
      <c r="H1122" s="544">
        <f t="shared" si="69"/>
        <v>183167.89558673685</v>
      </c>
      <c r="I1122" s="541">
        <f t="shared" si="70"/>
        <v>0</v>
      </c>
      <c r="J1122" s="541"/>
      <c r="K1122" s="561"/>
      <c r="L1122" s="545"/>
      <c r="M1122" s="561"/>
      <c r="N1122" s="545"/>
      <c r="O1122" s="545"/>
    </row>
    <row r="1123" spans="3:15">
      <c r="C1123" s="537">
        <f>IF(D1081="","-",+C1122+1)</f>
        <v>2060</v>
      </c>
      <c r="D1123" s="495">
        <f t="shared" si="66"/>
        <v>55847.545277780213</v>
      </c>
      <c r="E1123" s="538">
        <f t="shared" si="71"/>
        <v>55847.545277780213</v>
      </c>
      <c r="F1123" s="495">
        <f t="shared" si="67"/>
        <v>0</v>
      </c>
      <c r="G1123" s="543">
        <f t="shared" si="68"/>
        <v>58972.597228460996</v>
      </c>
      <c r="H1123" s="544">
        <f t="shared" si="69"/>
        <v>58972.597228460996</v>
      </c>
      <c r="I1123" s="541">
        <f t="shared" si="70"/>
        <v>0</v>
      </c>
      <c r="J1123" s="541"/>
      <c r="K1123" s="561"/>
      <c r="L1123" s="545"/>
      <c r="M1123" s="561"/>
      <c r="N1123" s="545"/>
      <c r="O1123" s="545"/>
    </row>
    <row r="1124" spans="3:15">
      <c r="C1124" s="537">
        <f>IF(D1081="","-",+C1123+1)</f>
        <v>2061</v>
      </c>
      <c r="D1124" s="495">
        <f t="shared" si="66"/>
        <v>0</v>
      </c>
      <c r="E1124" s="538">
        <f t="shared" si="71"/>
        <v>0</v>
      </c>
      <c r="F1124" s="495">
        <f t="shared" si="67"/>
        <v>0</v>
      </c>
      <c r="G1124" s="543">
        <f t="shared" si="68"/>
        <v>0</v>
      </c>
      <c r="H1124" s="544">
        <f t="shared" si="69"/>
        <v>0</v>
      </c>
      <c r="I1124" s="541">
        <f t="shared" si="70"/>
        <v>0</v>
      </c>
      <c r="J1124" s="541"/>
      <c r="K1124" s="561"/>
      <c r="L1124" s="545"/>
      <c r="M1124" s="561"/>
      <c r="N1124" s="545"/>
      <c r="O1124" s="545"/>
    </row>
    <row r="1125" spans="3:15">
      <c r="C1125" s="537">
        <f>IF(D1081="","-",+C1124+1)</f>
        <v>2062</v>
      </c>
      <c r="D1125" s="495">
        <f t="shared" si="66"/>
        <v>0</v>
      </c>
      <c r="E1125" s="538">
        <f t="shared" si="71"/>
        <v>0</v>
      </c>
      <c r="F1125" s="495">
        <f t="shared" si="67"/>
        <v>0</v>
      </c>
      <c r="G1125" s="543">
        <f t="shared" si="68"/>
        <v>0</v>
      </c>
      <c r="H1125" s="544">
        <f t="shared" si="69"/>
        <v>0</v>
      </c>
      <c r="I1125" s="541">
        <f t="shared" si="70"/>
        <v>0</v>
      </c>
      <c r="J1125" s="541"/>
      <c r="K1125" s="561"/>
      <c r="L1125" s="545"/>
      <c r="M1125" s="561"/>
      <c r="N1125" s="545"/>
      <c r="O1125" s="545"/>
    </row>
    <row r="1126" spans="3:15">
      <c r="C1126" s="537">
        <f>IF(D1081="","-",+C1125+1)</f>
        <v>2063</v>
      </c>
      <c r="D1126" s="495">
        <f t="shared" si="66"/>
        <v>0</v>
      </c>
      <c r="E1126" s="538">
        <f t="shared" si="71"/>
        <v>0</v>
      </c>
      <c r="F1126" s="495">
        <f t="shared" si="67"/>
        <v>0</v>
      </c>
      <c r="G1126" s="543">
        <f t="shared" si="68"/>
        <v>0</v>
      </c>
      <c r="H1126" s="544">
        <f t="shared" si="69"/>
        <v>0</v>
      </c>
      <c r="I1126" s="541">
        <f t="shared" si="70"/>
        <v>0</v>
      </c>
      <c r="J1126" s="541"/>
      <c r="K1126" s="561"/>
      <c r="L1126" s="545"/>
      <c r="M1126" s="561"/>
      <c r="N1126" s="545"/>
      <c r="O1126" s="545"/>
    </row>
    <row r="1127" spans="3:15">
      <c r="C1127" s="537">
        <f>IF(D1081="","-",+C1126+1)</f>
        <v>2064</v>
      </c>
      <c r="D1127" s="495">
        <f t="shared" si="66"/>
        <v>0</v>
      </c>
      <c r="E1127" s="538">
        <f t="shared" si="71"/>
        <v>0</v>
      </c>
      <c r="F1127" s="495">
        <f t="shared" si="67"/>
        <v>0</v>
      </c>
      <c r="G1127" s="543">
        <f t="shared" si="68"/>
        <v>0</v>
      </c>
      <c r="H1127" s="544">
        <f t="shared" si="69"/>
        <v>0</v>
      </c>
      <c r="I1127" s="541">
        <f t="shared" si="70"/>
        <v>0</v>
      </c>
      <c r="J1127" s="541"/>
      <c r="K1127" s="561"/>
      <c r="L1127" s="545"/>
      <c r="M1127" s="561"/>
      <c r="N1127" s="545"/>
      <c r="O1127" s="545"/>
    </row>
    <row r="1128" spans="3:15">
      <c r="C1128" s="537">
        <f>IF(D1081="","-",+C1127+1)</f>
        <v>2065</v>
      </c>
      <c r="D1128" s="495">
        <f t="shared" si="66"/>
        <v>0</v>
      </c>
      <c r="E1128" s="538">
        <f t="shared" si="71"/>
        <v>0</v>
      </c>
      <c r="F1128" s="495">
        <f t="shared" si="67"/>
        <v>0</v>
      </c>
      <c r="G1128" s="543">
        <f t="shared" si="68"/>
        <v>0</v>
      </c>
      <c r="H1128" s="544">
        <f t="shared" si="69"/>
        <v>0</v>
      </c>
      <c r="I1128" s="541">
        <f t="shared" si="70"/>
        <v>0</v>
      </c>
      <c r="J1128" s="541"/>
      <c r="K1128" s="561"/>
      <c r="L1128" s="545"/>
      <c r="M1128" s="561"/>
      <c r="N1128" s="545"/>
      <c r="O1128" s="545"/>
    </row>
    <row r="1129" spans="3:15">
      <c r="C1129" s="537">
        <f>IF(D1081="","-",+C1128+1)</f>
        <v>2066</v>
      </c>
      <c r="D1129" s="495">
        <f t="shared" si="66"/>
        <v>0</v>
      </c>
      <c r="E1129" s="538">
        <f t="shared" si="71"/>
        <v>0</v>
      </c>
      <c r="F1129" s="495">
        <f t="shared" si="67"/>
        <v>0</v>
      </c>
      <c r="G1129" s="543">
        <f t="shared" si="68"/>
        <v>0</v>
      </c>
      <c r="H1129" s="544">
        <f t="shared" si="69"/>
        <v>0</v>
      </c>
      <c r="I1129" s="541">
        <f t="shared" si="70"/>
        <v>0</v>
      </c>
      <c r="J1129" s="541"/>
      <c r="K1129" s="561"/>
      <c r="L1129" s="545"/>
      <c r="M1129" s="561"/>
      <c r="N1129" s="545"/>
      <c r="O1129" s="545"/>
    </row>
    <row r="1130" spans="3:15">
      <c r="C1130" s="537">
        <f>IF(D1081="","-",+C1129+1)</f>
        <v>2067</v>
      </c>
      <c r="D1130" s="495">
        <f t="shared" si="66"/>
        <v>0</v>
      </c>
      <c r="E1130" s="538">
        <f t="shared" si="71"/>
        <v>0</v>
      </c>
      <c r="F1130" s="495">
        <f t="shared" si="67"/>
        <v>0</v>
      </c>
      <c r="G1130" s="543">
        <f t="shared" si="68"/>
        <v>0</v>
      </c>
      <c r="H1130" s="544">
        <f t="shared" si="69"/>
        <v>0</v>
      </c>
      <c r="I1130" s="541">
        <f t="shared" si="70"/>
        <v>0</v>
      </c>
      <c r="J1130" s="541"/>
      <c r="K1130" s="561"/>
      <c r="L1130" s="545"/>
      <c r="M1130" s="561"/>
      <c r="N1130" s="545"/>
      <c r="O1130" s="545"/>
    </row>
    <row r="1131" spans="3:15">
      <c r="C1131" s="537">
        <f>IF(D1081="","-",+C1130+1)</f>
        <v>2068</v>
      </c>
      <c r="D1131" s="495">
        <f t="shared" si="66"/>
        <v>0</v>
      </c>
      <c r="E1131" s="538">
        <f t="shared" si="71"/>
        <v>0</v>
      </c>
      <c r="F1131" s="495">
        <f t="shared" si="67"/>
        <v>0</v>
      </c>
      <c r="G1131" s="543">
        <f t="shared" si="68"/>
        <v>0</v>
      </c>
      <c r="H1131" s="544">
        <f t="shared" si="69"/>
        <v>0</v>
      </c>
      <c r="I1131" s="541">
        <f t="shared" si="70"/>
        <v>0</v>
      </c>
      <c r="J1131" s="541"/>
      <c r="K1131" s="561"/>
      <c r="L1131" s="545"/>
      <c r="M1131" s="561"/>
      <c r="N1131" s="545"/>
      <c r="O1131" s="545"/>
    </row>
    <row r="1132" spans="3:15">
      <c r="C1132" s="537">
        <f>IF(D1081="","-",+C1131+1)</f>
        <v>2069</v>
      </c>
      <c r="D1132" s="495">
        <f t="shared" si="66"/>
        <v>0</v>
      </c>
      <c r="E1132" s="538">
        <f t="shared" si="71"/>
        <v>0</v>
      </c>
      <c r="F1132" s="495">
        <f t="shared" si="67"/>
        <v>0</v>
      </c>
      <c r="G1132" s="543">
        <f t="shared" si="68"/>
        <v>0</v>
      </c>
      <c r="H1132" s="544">
        <f t="shared" si="69"/>
        <v>0</v>
      </c>
      <c r="I1132" s="541">
        <f t="shared" si="70"/>
        <v>0</v>
      </c>
      <c r="J1132" s="541"/>
      <c r="K1132" s="561"/>
      <c r="L1132" s="545"/>
      <c r="M1132" s="561"/>
      <c r="N1132" s="545"/>
      <c r="O1132" s="545"/>
    </row>
    <row r="1133" spans="3:15">
      <c r="C1133" s="537">
        <f>IF(D1081="","-",+C1132+1)</f>
        <v>2070</v>
      </c>
      <c r="D1133" s="495">
        <f t="shared" si="66"/>
        <v>0</v>
      </c>
      <c r="E1133" s="538">
        <f t="shared" si="71"/>
        <v>0</v>
      </c>
      <c r="F1133" s="495">
        <f t="shared" si="67"/>
        <v>0</v>
      </c>
      <c r="G1133" s="543">
        <f t="shared" si="68"/>
        <v>0</v>
      </c>
      <c r="H1133" s="544">
        <f t="shared" si="69"/>
        <v>0</v>
      </c>
      <c r="I1133" s="541">
        <f t="shared" si="70"/>
        <v>0</v>
      </c>
      <c r="J1133" s="541"/>
      <c r="K1133" s="561"/>
      <c r="L1133" s="545"/>
      <c r="M1133" s="561"/>
      <c r="N1133" s="545"/>
      <c r="O1133" s="545"/>
    </row>
    <row r="1134" spans="3:15">
      <c r="C1134" s="537">
        <f>IF(D1081="","-",+C1133+1)</f>
        <v>2071</v>
      </c>
      <c r="D1134" s="495">
        <f t="shared" si="66"/>
        <v>0</v>
      </c>
      <c r="E1134" s="538">
        <f t="shared" si="71"/>
        <v>0</v>
      </c>
      <c r="F1134" s="495">
        <f t="shared" si="67"/>
        <v>0</v>
      </c>
      <c r="G1134" s="543">
        <f t="shared" si="68"/>
        <v>0</v>
      </c>
      <c r="H1134" s="544">
        <f t="shared" si="69"/>
        <v>0</v>
      </c>
      <c r="I1134" s="541">
        <f t="shared" si="70"/>
        <v>0</v>
      </c>
      <c r="J1134" s="541"/>
      <c r="K1134" s="561"/>
      <c r="L1134" s="545"/>
      <c r="M1134" s="561"/>
      <c r="N1134" s="545"/>
      <c r="O1134" s="545"/>
    </row>
    <row r="1135" spans="3:15">
      <c r="C1135" s="537">
        <f>IF(D1081="","-",+C1134+1)</f>
        <v>2072</v>
      </c>
      <c r="D1135" s="495">
        <f t="shared" si="66"/>
        <v>0</v>
      </c>
      <c r="E1135" s="538">
        <f t="shared" si="71"/>
        <v>0</v>
      </c>
      <c r="F1135" s="495">
        <f t="shared" si="67"/>
        <v>0</v>
      </c>
      <c r="G1135" s="543">
        <f t="shared" si="68"/>
        <v>0</v>
      </c>
      <c r="H1135" s="544">
        <f t="shared" si="69"/>
        <v>0</v>
      </c>
      <c r="I1135" s="541">
        <f t="shared" si="70"/>
        <v>0</v>
      </c>
      <c r="J1135" s="541"/>
      <c r="K1135" s="561"/>
      <c r="L1135" s="545"/>
      <c r="M1135" s="561"/>
      <c r="N1135" s="545"/>
      <c r="O1135" s="545"/>
    </row>
    <row r="1136" spans="3:15">
      <c r="C1136" s="537">
        <f>IF(D1081="","-",+C1135+1)</f>
        <v>2073</v>
      </c>
      <c r="D1136" s="495">
        <f t="shared" si="66"/>
        <v>0</v>
      </c>
      <c r="E1136" s="538">
        <f t="shared" si="71"/>
        <v>0</v>
      </c>
      <c r="F1136" s="495">
        <f t="shared" si="67"/>
        <v>0</v>
      </c>
      <c r="G1136" s="543">
        <f t="shared" si="68"/>
        <v>0</v>
      </c>
      <c r="H1136" s="544">
        <f t="shared" si="69"/>
        <v>0</v>
      </c>
      <c r="I1136" s="541">
        <f t="shared" si="70"/>
        <v>0</v>
      </c>
      <c r="J1136" s="541"/>
      <c r="K1136" s="561"/>
      <c r="L1136" s="545"/>
      <c r="M1136" s="561"/>
      <c r="N1136" s="545"/>
      <c r="O1136" s="545"/>
    </row>
    <row r="1137" spans="3:15">
      <c r="C1137" s="537">
        <f>IF(D1081="","-",+C1136+1)</f>
        <v>2074</v>
      </c>
      <c r="D1137" s="495">
        <f t="shared" si="66"/>
        <v>0</v>
      </c>
      <c r="E1137" s="538">
        <f t="shared" si="71"/>
        <v>0</v>
      </c>
      <c r="F1137" s="495">
        <f t="shared" si="67"/>
        <v>0</v>
      </c>
      <c r="G1137" s="543">
        <f t="shared" si="68"/>
        <v>0</v>
      </c>
      <c r="H1137" s="544">
        <f t="shared" si="69"/>
        <v>0</v>
      </c>
      <c r="I1137" s="541">
        <f t="shared" si="70"/>
        <v>0</v>
      </c>
      <c r="J1137" s="541"/>
      <c r="K1137" s="561"/>
      <c r="L1137" s="545"/>
      <c r="M1137" s="561"/>
      <c r="N1137" s="545"/>
      <c r="O1137" s="545"/>
    </row>
    <row r="1138" spans="3:15">
      <c r="C1138" s="537">
        <f>IF(D1081="","-",+C1137+1)</f>
        <v>2075</v>
      </c>
      <c r="D1138" s="495">
        <f t="shared" si="66"/>
        <v>0</v>
      </c>
      <c r="E1138" s="538">
        <f t="shared" si="71"/>
        <v>0</v>
      </c>
      <c r="F1138" s="495">
        <f t="shared" si="67"/>
        <v>0</v>
      </c>
      <c r="G1138" s="543">
        <f t="shared" si="68"/>
        <v>0</v>
      </c>
      <c r="H1138" s="544">
        <f t="shared" si="69"/>
        <v>0</v>
      </c>
      <c r="I1138" s="541">
        <f t="shared" si="70"/>
        <v>0</v>
      </c>
      <c r="J1138" s="541"/>
      <c r="K1138" s="561"/>
      <c r="L1138" s="545"/>
      <c r="M1138" s="561"/>
      <c r="N1138" s="545"/>
      <c r="O1138" s="545"/>
    </row>
    <row r="1139" spans="3:15">
      <c r="C1139" s="537">
        <f>IF(D1081="","-",+C1138+1)</f>
        <v>2076</v>
      </c>
      <c r="D1139" s="495">
        <f t="shared" si="66"/>
        <v>0</v>
      </c>
      <c r="E1139" s="538">
        <f t="shared" si="71"/>
        <v>0</v>
      </c>
      <c r="F1139" s="495">
        <f t="shared" si="67"/>
        <v>0</v>
      </c>
      <c r="G1139" s="543">
        <f t="shared" si="68"/>
        <v>0</v>
      </c>
      <c r="H1139" s="544">
        <f t="shared" si="69"/>
        <v>0</v>
      </c>
      <c r="I1139" s="541">
        <f t="shared" si="70"/>
        <v>0</v>
      </c>
      <c r="J1139" s="541"/>
      <c r="K1139" s="561"/>
      <c r="L1139" s="545"/>
      <c r="M1139" s="561"/>
      <c r="N1139" s="545"/>
      <c r="O1139" s="545"/>
    </row>
    <row r="1140" spans="3:15">
      <c r="C1140" s="537">
        <f>IF(D1081="","-",+C1139+1)</f>
        <v>2077</v>
      </c>
      <c r="D1140" s="495">
        <f t="shared" si="66"/>
        <v>0</v>
      </c>
      <c r="E1140" s="538">
        <f t="shared" si="71"/>
        <v>0</v>
      </c>
      <c r="F1140" s="495">
        <f t="shared" si="67"/>
        <v>0</v>
      </c>
      <c r="G1140" s="543">
        <f t="shared" si="68"/>
        <v>0</v>
      </c>
      <c r="H1140" s="544">
        <f t="shared" si="69"/>
        <v>0</v>
      </c>
      <c r="I1140" s="541">
        <f t="shared" si="70"/>
        <v>0</v>
      </c>
      <c r="J1140" s="541"/>
      <c r="K1140" s="561"/>
      <c r="L1140" s="545"/>
      <c r="M1140" s="561"/>
      <c r="N1140" s="545"/>
      <c r="O1140" s="545"/>
    </row>
    <row r="1141" spans="3:15">
      <c r="C1141" s="537">
        <f>IF(D1081="","-",+C1140+1)</f>
        <v>2078</v>
      </c>
      <c r="D1141" s="495">
        <f t="shared" si="66"/>
        <v>0</v>
      </c>
      <c r="E1141" s="538">
        <f t="shared" si="71"/>
        <v>0</v>
      </c>
      <c r="F1141" s="495">
        <f t="shared" si="67"/>
        <v>0</v>
      </c>
      <c r="G1141" s="543">
        <f t="shared" si="68"/>
        <v>0</v>
      </c>
      <c r="H1141" s="544">
        <f t="shared" si="69"/>
        <v>0</v>
      </c>
      <c r="I1141" s="541">
        <f t="shared" si="70"/>
        <v>0</v>
      </c>
      <c r="J1141" s="541"/>
      <c r="K1141" s="561"/>
      <c r="L1141" s="545"/>
      <c r="M1141" s="561"/>
      <c r="N1141" s="545"/>
      <c r="O1141" s="545"/>
    </row>
    <row r="1142" spans="3:15">
      <c r="C1142" s="537">
        <f>IF(D1081="","-",+C1141+1)</f>
        <v>2079</v>
      </c>
      <c r="D1142" s="495">
        <f t="shared" si="66"/>
        <v>0</v>
      </c>
      <c r="E1142" s="538">
        <f t="shared" si="71"/>
        <v>0</v>
      </c>
      <c r="F1142" s="495">
        <f t="shared" si="67"/>
        <v>0</v>
      </c>
      <c r="G1142" s="543">
        <f t="shared" si="68"/>
        <v>0</v>
      </c>
      <c r="H1142" s="544">
        <f t="shared" si="69"/>
        <v>0</v>
      </c>
      <c r="I1142" s="541">
        <f t="shared" si="70"/>
        <v>0</v>
      </c>
      <c r="J1142" s="541"/>
      <c r="K1142" s="561"/>
      <c r="L1142" s="545"/>
      <c r="M1142" s="561"/>
      <c r="N1142" s="545"/>
      <c r="O1142" s="545"/>
    </row>
    <row r="1143" spans="3:15">
      <c r="C1143" s="537">
        <f>IF(D1081="","-",+C1142+1)</f>
        <v>2080</v>
      </c>
      <c r="D1143" s="495">
        <f t="shared" si="66"/>
        <v>0</v>
      </c>
      <c r="E1143" s="538">
        <f t="shared" si="71"/>
        <v>0</v>
      </c>
      <c r="F1143" s="495">
        <f t="shared" si="67"/>
        <v>0</v>
      </c>
      <c r="G1143" s="543">
        <f t="shared" si="68"/>
        <v>0</v>
      </c>
      <c r="H1143" s="544">
        <f t="shared" si="69"/>
        <v>0</v>
      </c>
      <c r="I1143" s="541">
        <f t="shared" si="70"/>
        <v>0</v>
      </c>
      <c r="J1143" s="541"/>
      <c r="K1143" s="561"/>
      <c r="L1143" s="545"/>
      <c r="M1143" s="561"/>
      <c r="N1143" s="545"/>
      <c r="O1143" s="545"/>
    </row>
    <row r="1144" spans="3:15">
      <c r="C1144" s="537">
        <f>IF(D1081="","-",+C1143+1)</f>
        <v>2081</v>
      </c>
      <c r="D1144" s="495">
        <f t="shared" si="66"/>
        <v>0</v>
      </c>
      <c r="E1144" s="538">
        <f t="shared" si="71"/>
        <v>0</v>
      </c>
      <c r="F1144" s="495">
        <f t="shared" si="67"/>
        <v>0</v>
      </c>
      <c r="G1144" s="543">
        <f t="shared" si="68"/>
        <v>0</v>
      </c>
      <c r="H1144" s="544">
        <f t="shared" si="69"/>
        <v>0</v>
      </c>
      <c r="I1144" s="541">
        <f t="shared" si="70"/>
        <v>0</v>
      </c>
      <c r="J1144" s="541"/>
      <c r="K1144" s="561"/>
      <c r="L1144" s="545"/>
      <c r="M1144" s="561"/>
      <c r="N1144" s="545"/>
      <c r="O1144" s="545"/>
    </row>
    <row r="1145" spans="3:15">
      <c r="C1145" s="537">
        <f>IF(D1081="","-",+C1144+1)</f>
        <v>2082</v>
      </c>
      <c r="D1145" s="495">
        <f t="shared" si="66"/>
        <v>0</v>
      </c>
      <c r="E1145" s="538">
        <f t="shared" si="71"/>
        <v>0</v>
      </c>
      <c r="F1145" s="495">
        <f t="shared" si="67"/>
        <v>0</v>
      </c>
      <c r="G1145" s="543">
        <f t="shared" si="68"/>
        <v>0</v>
      </c>
      <c r="H1145" s="544">
        <f t="shared" si="69"/>
        <v>0</v>
      </c>
      <c r="I1145" s="541">
        <f t="shared" si="70"/>
        <v>0</v>
      </c>
      <c r="J1145" s="541"/>
      <c r="K1145" s="561"/>
      <c r="L1145" s="545"/>
      <c r="M1145" s="561"/>
      <c r="N1145" s="545"/>
      <c r="O1145" s="545"/>
    </row>
    <row r="1146" spans="3:15" ht="13.5" thickBot="1">
      <c r="C1146" s="547">
        <f>IF(D1081="","-",+C1145+1)</f>
        <v>2083</v>
      </c>
      <c r="D1146" s="548">
        <f t="shared" si="66"/>
        <v>0</v>
      </c>
      <c r="E1146" s="538">
        <f t="shared" si="71"/>
        <v>0</v>
      </c>
      <c r="F1146" s="548">
        <f t="shared" si="67"/>
        <v>0</v>
      </c>
      <c r="G1146" s="550">
        <f t="shared" si="68"/>
        <v>0</v>
      </c>
      <c r="H1146" s="550">
        <f t="shared" si="69"/>
        <v>0</v>
      </c>
      <c r="I1146" s="551">
        <f t="shared" si="70"/>
        <v>0</v>
      </c>
      <c r="J1146" s="541"/>
      <c r="K1146" s="562"/>
      <c r="L1146" s="552"/>
      <c r="M1146" s="562"/>
      <c r="N1146" s="552"/>
      <c r="O1146" s="552"/>
    </row>
    <row r="1147" spans="3:15">
      <c r="C1147" s="495" t="s">
        <v>91</v>
      </c>
      <c r="D1147" s="492"/>
      <c r="E1147" s="1063">
        <f>SUM(E1087:E1146)</f>
        <v>6031534.8899999997</v>
      </c>
      <c r="F1147" s="492"/>
      <c r="G1147" s="492">
        <f>SUM(G1087:G1146)</f>
        <v>18406740.61469537</v>
      </c>
      <c r="H1147" s="492">
        <f>SUM(H1087:H1146)</f>
        <v>18406740.61469537</v>
      </c>
      <c r="I1147" s="492">
        <f>SUM(I1087:I1146)</f>
        <v>0</v>
      </c>
      <c r="J1147" s="492"/>
      <c r="K1147" s="492"/>
      <c r="L1147" s="492"/>
      <c r="M1147" s="492"/>
      <c r="N1147" s="492"/>
      <c r="O1147" s="3"/>
    </row>
    <row r="1148" spans="3:15">
      <c r="D1148" s="47"/>
      <c r="E1148" s="3"/>
      <c r="F1148" s="3"/>
      <c r="G1148" s="3"/>
      <c r="H1148" s="479"/>
      <c r="I1148" s="479"/>
      <c r="J1148" s="492"/>
      <c r="K1148" s="479"/>
      <c r="L1148" s="479"/>
      <c r="M1148" s="479"/>
      <c r="N1148" s="479"/>
      <c r="O1148" s="3"/>
    </row>
    <row r="1149" spans="3:15">
      <c r="C1149" s="3" t="s">
        <v>13</v>
      </c>
      <c r="D1149" s="47"/>
      <c r="E1149" s="3"/>
      <c r="F1149" s="3"/>
      <c r="G1149" s="3"/>
      <c r="H1149" s="479"/>
      <c r="I1149" s="479"/>
      <c r="J1149" s="492"/>
      <c r="K1149" s="479"/>
      <c r="L1149" s="479"/>
      <c r="M1149" s="479"/>
      <c r="N1149" s="479"/>
      <c r="O1149" s="3"/>
    </row>
    <row r="1150" spans="3:15">
      <c r="C1150" s="3"/>
      <c r="D1150" s="47"/>
      <c r="E1150" s="3"/>
      <c r="F1150" s="3"/>
      <c r="G1150" s="3"/>
      <c r="H1150" s="479"/>
      <c r="I1150" s="479"/>
      <c r="J1150" s="492"/>
      <c r="K1150" s="479"/>
      <c r="L1150" s="479"/>
      <c r="M1150" s="479"/>
      <c r="N1150" s="479"/>
      <c r="O1150" s="3"/>
    </row>
    <row r="1151" spans="3:15">
      <c r="C1151" s="507" t="s">
        <v>14</v>
      </c>
      <c r="D1151" s="495"/>
      <c r="E1151" s="495"/>
      <c r="F1151" s="495"/>
      <c r="G1151" s="492"/>
      <c r="H1151" s="492"/>
      <c r="I1151" s="553"/>
      <c r="J1151" s="553"/>
      <c r="K1151" s="553"/>
      <c r="L1151" s="553"/>
      <c r="M1151" s="553"/>
      <c r="N1151" s="553"/>
      <c r="O1151" s="3"/>
    </row>
    <row r="1152" spans="3:15">
      <c r="C1152" s="496" t="s">
        <v>271</v>
      </c>
      <c r="D1152" s="495"/>
      <c r="E1152" s="495"/>
      <c r="F1152" s="495"/>
      <c r="G1152" s="492"/>
      <c r="H1152" s="492"/>
      <c r="I1152" s="553"/>
      <c r="J1152" s="553"/>
      <c r="K1152" s="553"/>
      <c r="L1152" s="553"/>
      <c r="M1152" s="553"/>
      <c r="N1152" s="553"/>
      <c r="O1152" s="3"/>
    </row>
    <row r="1153" spans="1:15">
      <c r="C1153" s="496" t="s">
        <v>92</v>
      </c>
      <c r="D1153" s="495"/>
      <c r="E1153" s="495"/>
      <c r="F1153" s="495"/>
      <c r="G1153" s="492"/>
      <c r="H1153" s="492"/>
      <c r="I1153" s="553"/>
      <c r="J1153" s="553"/>
      <c r="K1153" s="553"/>
      <c r="L1153" s="553"/>
      <c r="M1153" s="553"/>
      <c r="N1153" s="553"/>
      <c r="O1153" s="3"/>
    </row>
    <row r="1154" spans="1:15">
      <c r="C1154" s="496"/>
      <c r="D1154" s="495"/>
      <c r="E1154" s="495"/>
      <c r="F1154" s="495"/>
      <c r="G1154" s="492"/>
      <c r="H1154" s="492"/>
      <c r="I1154" s="553"/>
      <c r="J1154" s="553"/>
      <c r="K1154" s="553"/>
      <c r="L1154" s="553"/>
      <c r="M1154" s="553"/>
      <c r="N1154" s="553"/>
      <c r="O1154" s="3"/>
    </row>
    <row r="1155" spans="1:15">
      <c r="C1155" s="1185" t="s">
        <v>6</v>
      </c>
      <c r="D1155" s="1185"/>
      <c r="E1155" s="1185"/>
      <c r="F1155" s="1185"/>
      <c r="G1155" s="1185"/>
      <c r="H1155" s="1185"/>
      <c r="I1155" s="1185"/>
      <c r="J1155" s="1185"/>
      <c r="K1155" s="1185"/>
      <c r="L1155" s="1185"/>
      <c r="M1155" s="1185"/>
      <c r="N1155" s="1185"/>
      <c r="O1155" s="1185"/>
    </row>
    <row r="1156" spans="1:15">
      <c r="C1156" s="1185"/>
      <c r="D1156" s="1185"/>
      <c r="E1156" s="1185"/>
      <c r="F1156" s="1185"/>
      <c r="G1156" s="1185"/>
      <c r="H1156" s="1185"/>
      <c r="I1156" s="1185"/>
      <c r="J1156" s="1185"/>
      <c r="K1156" s="1185"/>
      <c r="L1156" s="1185"/>
      <c r="M1156" s="1185"/>
      <c r="N1156" s="1185"/>
      <c r="O1156" s="1185"/>
    </row>
    <row r="1158" spans="1:15" ht="20.25">
      <c r="A1158" s="436" t="str">
        <f>""&amp;A1082&amp;" Worksheet J -  ATRR PROJECTED Calculation for PJM Projects Charged to Benefiting Zones"</f>
        <v xml:space="preserve"> Worksheet J -  ATRR PROJECTED Calculation for PJM Projects Charged to Benefiting Zones</v>
      </c>
      <c r="B1158" s="3"/>
      <c r="C1158" s="3"/>
      <c r="D1158" s="47"/>
      <c r="E1158" s="3"/>
      <c r="F1158" s="478"/>
      <c r="G1158" s="3"/>
      <c r="H1158" s="479"/>
      <c r="K1158" s="387"/>
      <c r="L1158" s="387"/>
      <c r="M1158" s="387"/>
      <c r="N1158" s="387" t="str">
        <f>"Page "&amp;SUM(P$8:P1247)&amp;" of "</f>
        <v xml:space="preserve">Page 12 of </v>
      </c>
      <c r="O1158" s="437">
        <f>COUNT(P$8:P$56562)</f>
        <v>12</v>
      </c>
    </row>
    <row r="1159" spans="1:15" ht="20.25">
      <c r="A1159" s="436"/>
      <c r="B1159" s="3"/>
      <c r="C1159" s="3"/>
      <c r="D1159" s="47"/>
      <c r="E1159" s="3"/>
      <c r="F1159" s="478"/>
      <c r="G1159" s="3"/>
      <c r="H1159" s="479"/>
      <c r="K1159" s="387"/>
      <c r="L1159" s="387"/>
      <c r="M1159" s="387"/>
      <c r="N1159" s="387"/>
      <c r="O1159" s="437"/>
    </row>
    <row r="1160" spans="1:15" ht="18">
      <c r="B1160" s="438" t="s">
        <v>472</v>
      </c>
      <c r="C1160" s="119" t="s">
        <v>93</v>
      </c>
      <c r="D1160" s="47"/>
      <c r="E1160" s="3"/>
      <c r="F1160" s="3"/>
      <c r="G1160" s="3"/>
      <c r="H1160" s="479"/>
      <c r="I1160" s="479"/>
      <c r="J1160" s="492"/>
      <c r="K1160" s="479"/>
      <c r="L1160" s="479"/>
      <c r="M1160" s="479"/>
      <c r="N1160" s="479"/>
      <c r="O1160" s="3"/>
    </row>
    <row r="1161" spans="1:15" ht="18.75">
      <c r="B1161" s="438"/>
      <c r="C1161" s="6"/>
      <c r="D1161" s="47"/>
      <c r="E1161" s="3"/>
      <c r="F1161" s="3"/>
      <c r="G1161" s="3"/>
      <c r="H1161" s="479"/>
      <c r="I1161" s="479"/>
      <c r="J1161" s="492"/>
      <c r="K1161" s="479"/>
      <c r="L1161" s="479"/>
      <c r="M1161" s="479"/>
      <c r="N1161" s="479"/>
      <c r="O1161" s="3"/>
    </row>
    <row r="1162" spans="1:15" ht="18.75">
      <c r="B1162" s="438"/>
      <c r="C1162" s="6" t="s">
        <v>94</v>
      </c>
      <c r="D1162" s="47"/>
      <c r="E1162" s="3"/>
      <c r="F1162" s="3"/>
      <c r="G1162" s="3"/>
      <c r="H1162" s="479"/>
      <c r="I1162" s="479"/>
      <c r="J1162" s="492"/>
      <c r="K1162" s="479"/>
      <c r="L1162" s="479"/>
      <c r="M1162" s="479"/>
      <c r="N1162" s="479"/>
      <c r="O1162" s="3"/>
    </row>
    <row r="1163" spans="1:15" ht="15.75" thickBot="1">
      <c r="C1163" s="128"/>
      <c r="D1163" s="47"/>
      <c r="E1163" s="3"/>
      <c r="F1163" s="3"/>
      <c r="G1163" s="3"/>
      <c r="H1163" s="479"/>
      <c r="I1163" s="479"/>
      <c r="J1163" s="492"/>
      <c r="K1163" s="479"/>
      <c r="L1163" s="479"/>
      <c r="M1163" s="479"/>
      <c r="N1163" s="479"/>
      <c r="O1163" s="3"/>
    </row>
    <row r="1164" spans="1:15" ht="15.75">
      <c r="C1164" s="440" t="s">
        <v>95</v>
      </c>
      <c r="D1164" s="47"/>
      <c r="E1164" s="3"/>
      <c r="F1164" s="3"/>
      <c r="G1164" s="555"/>
      <c r="H1164" s="3" t="s">
        <v>74</v>
      </c>
      <c r="I1164" s="3"/>
      <c r="J1164" s="3"/>
      <c r="K1164" s="498" t="s">
        <v>99</v>
      </c>
      <c r="L1164" s="499"/>
      <c r="M1164" s="500"/>
      <c r="N1164" s="501">
        <f>IF(I1170=0,0,VLOOKUP(I1170,C1177:O1236,5))</f>
        <v>605249.06914039829</v>
      </c>
      <c r="O1164" s="3"/>
    </row>
    <row r="1165" spans="1:15" ht="15.75">
      <c r="C1165" s="440"/>
      <c r="D1165" s="47"/>
      <c r="E1165" s="3"/>
      <c r="F1165" s="3"/>
      <c r="G1165" s="3"/>
      <c r="H1165" s="502"/>
      <c r="I1165" s="502"/>
      <c r="J1165" s="503"/>
      <c r="K1165" s="504" t="s">
        <v>100</v>
      </c>
      <c r="L1165" s="505"/>
      <c r="M1165" s="3"/>
      <c r="N1165" s="506">
        <f>IF(I1170=0,0,VLOOKUP(I1170,C1177:O1236,6))</f>
        <v>605249.06914039829</v>
      </c>
      <c r="O1165" s="3"/>
    </row>
    <row r="1166" spans="1:15" ht="13.5" thickBot="1">
      <c r="C1166" s="507" t="s">
        <v>96</v>
      </c>
      <c r="D1166" s="1196" t="s">
        <v>976</v>
      </c>
      <c r="E1166" s="1196"/>
      <c r="F1166" s="1196"/>
      <c r="G1166" s="1196"/>
      <c r="H1166" s="1196"/>
      <c r="I1166" s="1196"/>
      <c r="J1166" s="492"/>
      <c r="K1166" s="508" t="s">
        <v>238</v>
      </c>
      <c r="L1166" s="509"/>
      <c r="M1166" s="509"/>
      <c r="N1166" s="510">
        <f>+N1165-N1164</f>
        <v>0</v>
      </c>
      <c r="O1166" s="3"/>
    </row>
    <row r="1167" spans="1:15">
      <c r="C1167" s="511"/>
      <c r="D1167" s="1196"/>
      <c r="E1167" s="1196"/>
      <c r="F1167" s="1196"/>
      <c r="G1167" s="1196"/>
      <c r="H1167" s="1196"/>
      <c r="I1167" s="1196"/>
      <c r="J1167" s="492"/>
      <c r="K1167" s="479"/>
      <c r="L1167" s="479"/>
      <c r="M1167" s="479"/>
      <c r="N1167" s="479"/>
      <c r="O1167" s="3"/>
    </row>
    <row r="1168" spans="1:15" ht="13.5" thickBot="1">
      <c r="C1168" s="511"/>
      <c r="D1168" s="3"/>
      <c r="E1168" s="513"/>
      <c r="F1168" s="513"/>
      <c r="G1168" s="513"/>
      <c r="H1168" s="513"/>
      <c r="I1168" s="513"/>
      <c r="J1168" s="513"/>
      <c r="K1168" s="513"/>
      <c r="L1168" s="513"/>
      <c r="M1168" s="513"/>
      <c r="N1168" s="513"/>
      <c r="O1168" s="3"/>
    </row>
    <row r="1169" spans="2:15" ht="13.5" thickBot="1">
      <c r="C1169" s="514" t="s">
        <v>97</v>
      </c>
      <c r="D1169" s="515"/>
      <c r="E1169" s="515"/>
      <c r="F1169" s="515"/>
      <c r="G1169" s="515"/>
      <c r="H1169" s="515"/>
      <c r="I1169" s="516"/>
      <c r="K1169" s="3"/>
      <c r="L1169" s="3"/>
      <c r="M1169" s="3"/>
      <c r="N1169" s="3"/>
      <c r="O1169" s="3"/>
    </row>
    <row r="1170" spans="2:15" ht="15">
      <c r="C1170" s="517" t="s">
        <v>75</v>
      </c>
      <c r="D1170" s="936">
        <v>4552254.13</v>
      </c>
      <c r="E1170" s="3" t="s">
        <v>76</v>
      </c>
      <c r="G1170" s="47"/>
      <c r="H1170" s="47"/>
      <c r="I1170" s="518">
        <f>$L$26</f>
        <v>2026</v>
      </c>
      <c r="J1170" s="70"/>
      <c r="K1170" s="1186" t="s">
        <v>247</v>
      </c>
      <c r="L1170" s="1186"/>
      <c r="M1170" s="1186"/>
      <c r="N1170" s="1186"/>
      <c r="O1170" s="1186"/>
    </row>
    <row r="1171" spans="2:15">
      <c r="C1171" s="517" t="s">
        <v>78</v>
      </c>
      <c r="D1171" s="558">
        <v>2024</v>
      </c>
      <c r="E1171" s="517" t="s">
        <v>79</v>
      </c>
      <c r="F1171" s="47"/>
      <c r="H1171"/>
      <c r="I1171" s="559">
        <f>IF(G1164="",0,$F$17)</f>
        <v>0</v>
      </c>
      <c r="J1171" s="519"/>
      <c r="K1171" s="492" t="s">
        <v>247</v>
      </c>
    </row>
    <row r="1172" spans="2:15">
      <c r="C1172" s="517" t="s">
        <v>80</v>
      </c>
      <c r="D1172" s="937">
        <v>4</v>
      </c>
      <c r="E1172" s="517" t="s">
        <v>81</v>
      </c>
      <c r="F1172" s="47"/>
      <c r="H1172"/>
      <c r="I1172" s="520">
        <f>$G$70</f>
        <v>0.11191367266500543</v>
      </c>
      <c r="J1172" s="478"/>
      <c r="K1172" t="str">
        <f>"          INPUT PROJECTED ARR (WITH &amp; WITHOUT INCENTIVES) FROM EACH PRIOR YEAR"</f>
        <v xml:space="preserve">          INPUT PROJECTED ARR (WITH &amp; WITHOUT INCENTIVES) FROM EACH PRIOR YEAR</v>
      </c>
    </row>
    <row r="1173" spans="2:15">
      <c r="C1173" s="517" t="s">
        <v>82</v>
      </c>
      <c r="D1173" s="521">
        <f>$G$79</f>
        <v>36</v>
      </c>
      <c r="E1173" s="517" t="s">
        <v>83</v>
      </c>
      <c r="F1173" s="47"/>
      <c r="H1173"/>
      <c r="I1173" s="520">
        <f>IF(G1164="",I1172,$G$69)</f>
        <v>0.11191367266500543</v>
      </c>
      <c r="J1173" s="478"/>
      <c r="K1173" t="s">
        <v>160</v>
      </c>
    </row>
    <row r="1174" spans="2:15" ht="13.5" thickBot="1">
      <c r="C1174" s="517" t="s">
        <v>84</v>
      </c>
      <c r="D1174" s="556" t="s">
        <v>810</v>
      </c>
      <c r="E1174" s="522" t="s">
        <v>85</v>
      </c>
      <c r="F1174" s="523"/>
      <c r="G1174" s="524"/>
      <c r="H1174" s="524"/>
      <c r="I1174" s="510">
        <f>IF(D1170=0,0,D1170/D1173)</f>
        <v>126451.50361111111</v>
      </c>
      <c r="J1174" s="492"/>
      <c r="K1174" s="492" t="s">
        <v>166</v>
      </c>
      <c r="L1174" s="492"/>
      <c r="M1174" s="492"/>
      <c r="N1174" s="492"/>
      <c r="O1174" s="3"/>
    </row>
    <row r="1175" spans="2:15" ht="51">
      <c r="B1175" s="439"/>
      <c r="C1175" s="525" t="s">
        <v>75</v>
      </c>
      <c r="D1175" s="526" t="s">
        <v>86</v>
      </c>
      <c r="E1175" s="527" t="s">
        <v>87</v>
      </c>
      <c r="F1175" s="526" t="s">
        <v>88</v>
      </c>
      <c r="G1175" s="527" t="s">
        <v>159</v>
      </c>
      <c r="H1175" s="528" t="s">
        <v>159</v>
      </c>
      <c r="I1175" s="525" t="s">
        <v>98</v>
      </c>
      <c r="J1175" s="529"/>
      <c r="K1175" s="527" t="s">
        <v>168</v>
      </c>
      <c r="L1175" s="530"/>
      <c r="M1175" s="527" t="s">
        <v>168</v>
      </c>
      <c r="N1175" s="530"/>
      <c r="O1175" s="530"/>
    </row>
    <row r="1176" spans="2:15" ht="13.5" thickBot="1">
      <c r="C1176" s="531" t="s">
        <v>475</v>
      </c>
      <c r="D1176" s="532" t="s">
        <v>476</v>
      </c>
      <c r="E1176" s="531" t="s">
        <v>369</v>
      </c>
      <c r="F1176" s="532" t="s">
        <v>476</v>
      </c>
      <c r="G1176" s="533" t="s">
        <v>101</v>
      </c>
      <c r="H1176" s="534" t="s">
        <v>103</v>
      </c>
      <c r="I1176" s="531" t="s">
        <v>15</v>
      </c>
      <c r="J1176" s="535"/>
      <c r="K1176" s="533" t="s">
        <v>90</v>
      </c>
      <c r="L1176" s="536"/>
      <c r="M1176" s="533" t="s">
        <v>103</v>
      </c>
      <c r="N1176" s="536"/>
      <c r="O1176" s="536"/>
    </row>
    <row r="1177" spans="2:15">
      <c r="C1177" s="537">
        <f>IF(D1171= "","-",D1171)</f>
        <v>2024</v>
      </c>
      <c r="D1177" s="495">
        <f>+D1170</f>
        <v>4552254.13</v>
      </c>
      <c r="E1177" s="538">
        <f>+I1174/12*(12-D1172)</f>
        <v>84301.002407407403</v>
      </c>
      <c r="F1177" s="495">
        <f>+D1177-E1177</f>
        <v>4467953.1275925925</v>
      </c>
      <c r="G1177" s="705">
        <f>+$I$96*((D1177+F1177)/2)+E1177</f>
        <v>589043.26360576926</v>
      </c>
      <c r="H1177" s="706">
        <f>$I$97*((D1177+F1177)/2)+E1177</f>
        <v>589043.26360576926</v>
      </c>
      <c r="I1177" s="541">
        <f>+H1177-G1177</f>
        <v>0</v>
      </c>
      <c r="J1177" s="541"/>
      <c r="K1177" s="560">
        <v>595733.25568499009</v>
      </c>
      <c r="L1177" s="542"/>
      <c r="M1177" s="560">
        <v>595733.25568499009</v>
      </c>
      <c r="N1177" s="542"/>
      <c r="O1177" s="542"/>
    </row>
    <row r="1178" spans="2:15">
      <c r="C1178" s="537">
        <f>IF(D1171="","-",+C1177+1)</f>
        <v>2025</v>
      </c>
      <c r="D1178" s="495">
        <f t="shared" ref="D1178:D1236" si="72">F1177</f>
        <v>4467953.1275925925</v>
      </c>
      <c r="E1178" s="538">
        <f>IF(D1178&gt;$I$1174,$I$1174,D1178)</f>
        <v>126451.50361111111</v>
      </c>
      <c r="F1178" s="495">
        <f t="shared" ref="F1178:F1236" si="73">+D1178-E1178</f>
        <v>4341501.6239814814</v>
      </c>
      <c r="G1178" s="543">
        <f t="shared" ref="G1178:G1236" si="74">+$I$96*((D1178+F1178)/2)+E1178</f>
        <v>619400.72132352984</v>
      </c>
      <c r="H1178" s="544">
        <f t="shared" ref="H1178:H1236" si="75">$I$97*((D1178+F1178)/2)+E1178</f>
        <v>619400.72132352984</v>
      </c>
      <c r="I1178" s="541">
        <f t="shared" ref="I1178:I1236" si="76">+H1178-G1178</f>
        <v>0</v>
      </c>
      <c r="J1178" s="541"/>
      <c r="K1178" s="561">
        <v>632662.40422997461</v>
      </c>
      <c r="L1178" s="545"/>
      <c r="M1178" s="561">
        <v>632662.40422997461</v>
      </c>
      <c r="N1178" s="545"/>
      <c r="O1178" s="545"/>
    </row>
    <row r="1179" spans="2:15">
      <c r="C1179" s="935">
        <f>IF(D1171="","-",+C1178+1)</f>
        <v>2026</v>
      </c>
      <c r="D1179" s="495">
        <f t="shared" si="72"/>
        <v>4341501.6239814814</v>
      </c>
      <c r="E1179" s="538">
        <f t="shared" ref="E1179:E1236" si="77">IF(D1179&gt;$I$1174,$I$1174,D1179)</f>
        <v>126451.50361111111</v>
      </c>
      <c r="F1179" s="495">
        <f t="shared" si="73"/>
        <v>4215050.1203703703</v>
      </c>
      <c r="G1179" s="543">
        <f t="shared" si="74"/>
        <v>605249.06914039829</v>
      </c>
      <c r="H1179" s="544">
        <f t="shared" si="75"/>
        <v>605249.06914039829</v>
      </c>
      <c r="I1179" s="541">
        <f t="shared" si="76"/>
        <v>0</v>
      </c>
      <c r="J1179" s="541"/>
      <c r="K1179" s="561"/>
      <c r="L1179" s="545"/>
      <c r="M1179" s="561"/>
      <c r="N1179" s="545"/>
      <c r="O1179" s="545"/>
    </row>
    <row r="1180" spans="2:15">
      <c r="C1180" s="537">
        <f>IF(D1171="","-",+C1179+1)</f>
        <v>2027</v>
      </c>
      <c r="D1180" s="495">
        <f t="shared" si="72"/>
        <v>4215050.1203703703</v>
      </c>
      <c r="E1180" s="538">
        <f t="shared" si="77"/>
        <v>126451.50361111111</v>
      </c>
      <c r="F1180" s="495">
        <f t="shared" si="73"/>
        <v>4088598.6167592593</v>
      </c>
      <c r="G1180" s="543">
        <f t="shared" si="74"/>
        <v>591097.41695726663</v>
      </c>
      <c r="H1180" s="544">
        <f t="shared" si="75"/>
        <v>591097.41695726663</v>
      </c>
      <c r="I1180" s="541">
        <f t="shared" si="76"/>
        <v>0</v>
      </c>
      <c r="J1180" s="541"/>
      <c r="K1180" s="561"/>
      <c r="L1180" s="545"/>
      <c r="M1180" s="561"/>
      <c r="N1180" s="545"/>
      <c r="O1180" s="545"/>
    </row>
    <row r="1181" spans="2:15">
      <c r="C1181" s="943">
        <f>IF(D1171="","-",+C1180+1)</f>
        <v>2028</v>
      </c>
      <c r="D1181" s="495">
        <f t="shared" si="72"/>
        <v>4088598.6167592593</v>
      </c>
      <c r="E1181" s="538">
        <f t="shared" si="77"/>
        <v>126451.50361111111</v>
      </c>
      <c r="F1181" s="495">
        <f t="shared" si="73"/>
        <v>3962147.1131481482</v>
      </c>
      <c r="G1181" s="543">
        <f t="shared" si="74"/>
        <v>576945.76477413496</v>
      </c>
      <c r="H1181" s="544">
        <f t="shared" si="75"/>
        <v>576945.76477413496</v>
      </c>
      <c r="I1181" s="541">
        <f t="shared" si="76"/>
        <v>0</v>
      </c>
      <c r="J1181" s="541"/>
      <c r="K1181" s="561"/>
      <c r="L1181" s="545"/>
      <c r="M1181" s="561"/>
      <c r="N1181" s="545"/>
      <c r="O1181" s="545"/>
    </row>
    <row r="1182" spans="2:15">
      <c r="C1182" s="943">
        <f>IF(D1171="","-",+C1181+1)</f>
        <v>2029</v>
      </c>
      <c r="D1182" s="495">
        <f t="shared" si="72"/>
        <v>3962147.1131481482</v>
      </c>
      <c r="E1182" s="538">
        <f t="shared" si="77"/>
        <v>126451.50361111111</v>
      </c>
      <c r="F1182" s="495">
        <f t="shared" si="73"/>
        <v>3835695.6095370371</v>
      </c>
      <c r="G1182" s="543">
        <f t="shared" si="74"/>
        <v>562794.11259100342</v>
      </c>
      <c r="H1182" s="544">
        <f t="shared" si="75"/>
        <v>562794.11259100342</v>
      </c>
      <c r="I1182" s="541">
        <f t="shared" si="76"/>
        <v>0</v>
      </c>
      <c r="J1182" s="541"/>
      <c r="K1182" s="561"/>
      <c r="L1182" s="545"/>
      <c r="M1182" s="561"/>
      <c r="N1182" s="545"/>
      <c r="O1182" s="545"/>
    </row>
    <row r="1183" spans="2:15">
      <c r="C1183" s="943">
        <f>IF(D1171="","-",+C1182+1)</f>
        <v>2030</v>
      </c>
      <c r="D1183" s="495">
        <f t="shared" si="72"/>
        <v>3835695.6095370371</v>
      </c>
      <c r="E1183" s="538">
        <f t="shared" si="77"/>
        <v>126451.50361111111</v>
      </c>
      <c r="F1183" s="495">
        <f t="shared" si="73"/>
        <v>3709244.105925926</v>
      </c>
      <c r="G1183" s="543">
        <f t="shared" si="74"/>
        <v>548642.46040787175</v>
      </c>
      <c r="H1183" s="544">
        <f t="shared" si="75"/>
        <v>548642.46040787175</v>
      </c>
      <c r="I1183" s="541">
        <f t="shared" si="76"/>
        <v>0</v>
      </c>
      <c r="J1183" s="541"/>
      <c r="K1183" s="561"/>
      <c r="L1183" s="545"/>
      <c r="M1183" s="561"/>
      <c r="N1183" s="545"/>
      <c r="O1183" s="545"/>
    </row>
    <row r="1184" spans="2:15">
      <c r="C1184" s="537">
        <f>IF(D1171="","-",+C1183+1)</f>
        <v>2031</v>
      </c>
      <c r="D1184" s="495">
        <f t="shared" si="72"/>
        <v>3709244.105925926</v>
      </c>
      <c r="E1184" s="538">
        <f t="shared" si="77"/>
        <v>126451.50361111111</v>
      </c>
      <c r="F1184" s="495">
        <f t="shared" si="73"/>
        <v>3582792.6023148149</v>
      </c>
      <c r="G1184" s="543">
        <f t="shared" si="74"/>
        <v>534490.80822474009</v>
      </c>
      <c r="H1184" s="544">
        <f t="shared" si="75"/>
        <v>534490.80822474009</v>
      </c>
      <c r="I1184" s="541">
        <f t="shared" si="76"/>
        <v>0</v>
      </c>
      <c r="J1184" s="541"/>
      <c r="K1184" s="561"/>
      <c r="L1184" s="545"/>
      <c r="M1184" s="561"/>
      <c r="N1184" s="545"/>
      <c r="O1184" s="545"/>
    </row>
    <row r="1185" spans="3:15">
      <c r="C1185" s="537">
        <f>IF(D1171="","-",+C1184+1)</f>
        <v>2032</v>
      </c>
      <c r="D1185" s="495">
        <f t="shared" si="72"/>
        <v>3582792.6023148149</v>
      </c>
      <c r="E1185" s="538">
        <f t="shared" si="77"/>
        <v>126451.50361111111</v>
      </c>
      <c r="F1185" s="495">
        <f t="shared" si="73"/>
        <v>3456341.0987037038</v>
      </c>
      <c r="G1185" s="543">
        <f t="shared" si="74"/>
        <v>520339.15604160842</v>
      </c>
      <c r="H1185" s="544">
        <f t="shared" si="75"/>
        <v>520339.15604160842</v>
      </c>
      <c r="I1185" s="541">
        <f t="shared" si="76"/>
        <v>0</v>
      </c>
      <c r="J1185" s="541"/>
      <c r="K1185" s="561"/>
      <c r="L1185" s="545"/>
      <c r="M1185" s="561"/>
      <c r="N1185" s="545"/>
      <c r="O1185" s="545"/>
    </row>
    <row r="1186" spans="3:15">
      <c r="C1186" s="537">
        <f>IF(D1171="","-",+C1185+1)</f>
        <v>2033</v>
      </c>
      <c r="D1186" s="495">
        <f t="shared" si="72"/>
        <v>3456341.0987037038</v>
      </c>
      <c r="E1186" s="538">
        <f t="shared" si="77"/>
        <v>126451.50361111111</v>
      </c>
      <c r="F1186" s="495">
        <f t="shared" si="73"/>
        <v>3329889.5950925928</v>
      </c>
      <c r="G1186" s="543">
        <f t="shared" si="74"/>
        <v>506187.50385847688</v>
      </c>
      <c r="H1186" s="544">
        <f t="shared" si="75"/>
        <v>506187.50385847688</v>
      </c>
      <c r="I1186" s="541">
        <f t="shared" si="76"/>
        <v>0</v>
      </c>
      <c r="J1186" s="541"/>
      <c r="K1186" s="561"/>
      <c r="L1186" s="545"/>
      <c r="M1186" s="561"/>
      <c r="N1186" s="545"/>
      <c r="O1186" s="545"/>
    </row>
    <row r="1187" spans="3:15">
      <c r="C1187" s="537">
        <f>IF(D1171="","-",+C1186+1)</f>
        <v>2034</v>
      </c>
      <c r="D1187" s="495">
        <f t="shared" si="72"/>
        <v>3329889.5950925928</v>
      </c>
      <c r="E1187" s="538">
        <f t="shared" si="77"/>
        <v>126451.50361111111</v>
      </c>
      <c r="F1187" s="495">
        <f t="shared" si="73"/>
        <v>3203438.0914814817</v>
      </c>
      <c r="G1187" s="543">
        <f t="shared" si="74"/>
        <v>492035.85167534521</v>
      </c>
      <c r="H1187" s="544">
        <f t="shared" si="75"/>
        <v>492035.85167534521</v>
      </c>
      <c r="I1187" s="541">
        <f t="shared" si="76"/>
        <v>0</v>
      </c>
      <c r="J1187" s="541"/>
      <c r="K1187" s="561"/>
      <c r="L1187" s="545"/>
      <c r="M1187" s="561"/>
      <c r="N1187" s="545"/>
      <c r="O1187" s="545"/>
    </row>
    <row r="1188" spans="3:15">
      <c r="C1188" s="537">
        <f>IF(D1171="","-",+C1187+1)</f>
        <v>2035</v>
      </c>
      <c r="D1188" s="495">
        <f t="shared" si="72"/>
        <v>3203438.0914814817</v>
      </c>
      <c r="E1188" s="538">
        <f t="shared" si="77"/>
        <v>126451.50361111111</v>
      </c>
      <c r="F1188" s="495">
        <f t="shared" si="73"/>
        <v>3076986.5878703706</v>
      </c>
      <c r="G1188" s="543">
        <f t="shared" si="74"/>
        <v>477884.19949221355</v>
      </c>
      <c r="H1188" s="544">
        <f t="shared" si="75"/>
        <v>477884.19949221355</v>
      </c>
      <c r="I1188" s="541">
        <f t="shared" si="76"/>
        <v>0</v>
      </c>
      <c r="J1188" s="541"/>
      <c r="K1188" s="561"/>
      <c r="L1188" s="545"/>
      <c r="M1188" s="561"/>
      <c r="N1188" s="545"/>
      <c r="O1188" s="545"/>
    </row>
    <row r="1189" spans="3:15">
      <c r="C1189" s="537">
        <f>IF(D1171="","-",+C1188+1)</f>
        <v>2036</v>
      </c>
      <c r="D1189" s="495">
        <f t="shared" si="72"/>
        <v>3076986.5878703706</v>
      </c>
      <c r="E1189" s="538">
        <f t="shared" si="77"/>
        <v>126451.50361111111</v>
      </c>
      <c r="F1189" s="495">
        <f t="shared" si="73"/>
        <v>2950535.0842592595</v>
      </c>
      <c r="G1189" s="543">
        <f t="shared" si="74"/>
        <v>463732.54730908189</v>
      </c>
      <c r="H1189" s="544">
        <f t="shared" si="75"/>
        <v>463732.54730908189</v>
      </c>
      <c r="I1189" s="541">
        <f t="shared" si="76"/>
        <v>0</v>
      </c>
      <c r="J1189" s="541"/>
      <c r="K1189" s="561"/>
      <c r="L1189" s="545"/>
      <c r="M1189" s="561"/>
      <c r="N1189" s="546"/>
      <c r="O1189" s="545"/>
    </row>
    <row r="1190" spans="3:15">
      <c r="C1190" s="537">
        <f>IF(D1171="","-",+C1189+1)</f>
        <v>2037</v>
      </c>
      <c r="D1190" s="495">
        <f t="shared" si="72"/>
        <v>2950535.0842592595</v>
      </c>
      <c r="E1190" s="538">
        <f t="shared" si="77"/>
        <v>126451.50361111111</v>
      </c>
      <c r="F1190" s="495">
        <f t="shared" si="73"/>
        <v>2824083.5806481484</v>
      </c>
      <c r="G1190" s="543">
        <f t="shared" si="74"/>
        <v>449580.89512595034</v>
      </c>
      <c r="H1190" s="544">
        <f t="shared" si="75"/>
        <v>449580.89512595034</v>
      </c>
      <c r="I1190" s="541">
        <f t="shared" si="76"/>
        <v>0</v>
      </c>
      <c r="J1190" s="541"/>
      <c r="K1190" s="561"/>
      <c r="L1190" s="545"/>
      <c r="M1190" s="561"/>
      <c r="N1190" s="545"/>
      <c r="O1190" s="545"/>
    </row>
    <row r="1191" spans="3:15">
      <c r="C1191" s="537">
        <f>IF(D1171="","-",+C1190+1)</f>
        <v>2038</v>
      </c>
      <c r="D1191" s="495">
        <f t="shared" si="72"/>
        <v>2824083.5806481484</v>
      </c>
      <c r="E1191" s="538">
        <f t="shared" si="77"/>
        <v>126451.50361111111</v>
      </c>
      <c r="F1191" s="495">
        <f t="shared" si="73"/>
        <v>2697632.0770370374</v>
      </c>
      <c r="G1191" s="543">
        <f t="shared" si="74"/>
        <v>435429.24294281867</v>
      </c>
      <c r="H1191" s="544">
        <f t="shared" si="75"/>
        <v>435429.24294281867</v>
      </c>
      <c r="I1191" s="541">
        <f t="shared" si="76"/>
        <v>0</v>
      </c>
      <c r="J1191" s="541"/>
      <c r="K1191" s="561"/>
      <c r="L1191" s="545"/>
      <c r="M1191" s="561"/>
      <c r="N1191" s="545"/>
      <c r="O1191" s="545"/>
    </row>
    <row r="1192" spans="3:15">
      <c r="C1192" s="537">
        <f>IF(D1171="","-",+C1191+1)</f>
        <v>2039</v>
      </c>
      <c r="D1192" s="495">
        <f t="shared" si="72"/>
        <v>2697632.0770370374</v>
      </c>
      <c r="E1192" s="538">
        <f t="shared" si="77"/>
        <v>126451.50361111111</v>
      </c>
      <c r="F1192" s="495">
        <f t="shared" si="73"/>
        <v>2571180.5734259263</v>
      </c>
      <c r="G1192" s="543">
        <f t="shared" si="74"/>
        <v>421277.59075968701</v>
      </c>
      <c r="H1192" s="544">
        <f t="shared" si="75"/>
        <v>421277.59075968701</v>
      </c>
      <c r="I1192" s="541">
        <f t="shared" si="76"/>
        <v>0</v>
      </c>
      <c r="J1192" s="541"/>
      <c r="K1192" s="561"/>
      <c r="L1192" s="545"/>
      <c r="M1192" s="561"/>
      <c r="N1192" s="545"/>
      <c r="O1192" s="545"/>
    </row>
    <row r="1193" spans="3:15">
      <c r="C1193" s="537">
        <f>IF(D1171="","-",+C1192+1)</f>
        <v>2040</v>
      </c>
      <c r="D1193" s="495">
        <f t="shared" si="72"/>
        <v>2571180.5734259263</v>
      </c>
      <c r="E1193" s="538">
        <f t="shared" si="77"/>
        <v>126451.50361111111</v>
      </c>
      <c r="F1193" s="495">
        <f t="shared" si="73"/>
        <v>2444729.0698148152</v>
      </c>
      <c r="G1193" s="543">
        <f t="shared" si="74"/>
        <v>407125.93857655535</v>
      </c>
      <c r="H1193" s="544">
        <f t="shared" si="75"/>
        <v>407125.93857655535</v>
      </c>
      <c r="I1193" s="541">
        <f t="shared" si="76"/>
        <v>0</v>
      </c>
      <c r="J1193" s="541"/>
      <c r="K1193" s="561"/>
      <c r="L1193" s="545"/>
      <c r="M1193" s="561"/>
      <c r="N1193" s="545"/>
      <c r="O1193" s="545"/>
    </row>
    <row r="1194" spans="3:15">
      <c r="C1194" s="537">
        <f>IF(D1171="","-",+C1193+1)</f>
        <v>2041</v>
      </c>
      <c r="D1194" s="495">
        <f t="shared" si="72"/>
        <v>2444729.0698148152</v>
      </c>
      <c r="E1194" s="538">
        <f t="shared" si="77"/>
        <v>126451.50361111111</v>
      </c>
      <c r="F1194" s="495">
        <f t="shared" si="73"/>
        <v>2318277.5662037041</v>
      </c>
      <c r="G1194" s="543">
        <f t="shared" si="74"/>
        <v>392974.28639342368</v>
      </c>
      <c r="H1194" s="544">
        <f t="shared" si="75"/>
        <v>392974.28639342368</v>
      </c>
      <c r="I1194" s="541">
        <f t="shared" si="76"/>
        <v>0</v>
      </c>
      <c r="J1194" s="541"/>
      <c r="K1194" s="561"/>
      <c r="L1194" s="545"/>
      <c r="M1194" s="561"/>
      <c r="N1194" s="545"/>
      <c r="O1194" s="545"/>
    </row>
    <row r="1195" spans="3:15">
      <c r="C1195" s="537">
        <f>IF(D1171="","-",+C1194+1)</f>
        <v>2042</v>
      </c>
      <c r="D1195" s="495">
        <f t="shared" si="72"/>
        <v>2318277.5662037041</v>
      </c>
      <c r="E1195" s="538">
        <f t="shared" si="77"/>
        <v>126451.50361111111</v>
      </c>
      <c r="F1195" s="495">
        <f t="shared" si="73"/>
        <v>2191826.062592593</v>
      </c>
      <c r="G1195" s="543">
        <f t="shared" si="74"/>
        <v>378822.63421029213</v>
      </c>
      <c r="H1195" s="544">
        <f t="shared" si="75"/>
        <v>378822.63421029213</v>
      </c>
      <c r="I1195" s="541">
        <f t="shared" si="76"/>
        <v>0</v>
      </c>
      <c r="J1195" s="541"/>
      <c r="K1195" s="561"/>
      <c r="L1195" s="545"/>
      <c r="M1195" s="561"/>
      <c r="N1195" s="545"/>
      <c r="O1195" s="545"/>
    </row>
    <row r="1196" spans="3:15">
      <c r="C1196" s="537">
        <f>IF(D1171="","-",+C1195+1)</f>
        <v>2043</v>
      </c>
      <c r="D1196" s="495">
        <f t="shared" si="72"/>
        <v>2191826.062592593</v>
      </c>
      <c r="E1196" s="538">
        <f t="shared" si="77"/>
        <v>126451.50361111111</v>
      </c>
      <c r="F1196" s="495">
        <f t="shared" si="73"/>
        <v>2065374.5589814819</v>
      </c>
      <c r="G1196" s="543">
        <f t="shared" si="74"/>
        <v>364670.98202716047</v>
      </c>
      <c r="H1196" s="544">
        <f t="shared" si="75"/>
        <v>364670.98202716047</v>
      </c>
      <c r="I1196" s="541">
        <f t="shared" si="76"/>
        <v>0</v>
      </c>
      <c r="J1196" s="541"/>
      <c r="K1196" s="561"/>
      <c r="L1196" s="545"/>
      <c r="M1196" s="561"/>
      <c r="N1196" s="545"/>
      <c r="O1196" s="545"/>
    </row>
    <row r="1197" spans="3:15">
      <c r="C1197" s="537">
        <f>IF(D1171="","-",+C1196+1)</f>
        <v>2044</v>
      </c>
      <c r="D1197" s="495">
        <f t="shared" si="72"/>
        <v>2065374.5589814819</v>
      </c>
      <c r="E1197" s="538">
        <f t="shared" si="77"/>
        <v>126451.50361111111</v>
      </c>
      <c r="F1197" s="495">
        <f t="shared" si="73"/>
        <v>1938923.0553703709</v>
      </c>
      <c r="G1197" s="543">
        <f t="shared" si="74"/>
        <v>350519.32984402881</v>
      </c>
      <c r="H1197" s="544">
        <f t="shared" si="75"/>
        <v>350519.32984402881</v>
      </c>
      <c r="I1197" s="541">
        <f t="shared" si="76"/>
        <v>0</v>
      </c>
      <c r="J1197" s="541"/>
      <c r="K1197" s="561"/>
      <c r="L1197" s="545"/>
      <c r="M1197" s="561"/>
      <c r="N1197" s="545"/>
      <c r="O1197" s="545"/>
    </row>
    <row r="1198" spans="3:15">
      <c r="C1198" s="537">
        <f>IF(D1171="","-",+C1197+1)</f>
        <v>2045</v>
      </c>
      <c r="D1198" s="495">
        <f t="shared" si="72"/>
        <v>1938923.0553703709</v>
      </c>
      <c r="E1198" s="538">
        <f t="shared" si="77"/>
        <v>126451.50361111111</v>
      </c>
      <c r="F1198" s="495">
        <f t="shared" si="73"/>
        <v>1812471.5517592598</v>
      </c>
      <c r="G1198" s="543">
        <f t="shared" si="74"/>
        <v>336367.67766089714</v>
      </c>
      <c r="H1198" s="544">
        <f t="shared" si="75"/>
        <v>336367.67766089714</v>
      </c>
      <c r="I1198" s="541">
        <f t="shared" si="76"/>
        <v>0</v>
      </c>
      <c r="J1198" s="541"/>
      <c r="K1198" s="561"/>
      <c r="L1198" s="545"/>
      <c r="M1198" s="561"/>
      <c r="N1198" s="545"/>
      <c r="O1198" s="545"/>
    </row>
    <row r="1199" spans="3:15">
      <c r="C1199" s="537">
        <f>IF(D1171="","-",+C1198+1)</f>
        <v>2046</v>
      </c>
      <c r="D1199" s="495">
        <f t="shared" si="72"/>
        <v>1812471.5517592598</v>
      </c>
      <c r="E1199" s="538">
        <f t="shared" si="77"/>
        <v>126451.50361111111</v>
      </c>
      <c r="F1199" s="495">
        <f t="shared" si="73"/>
        <v>1686020.0481481487</v>
      </c>
      <c r="G1199" s="543">
        <f t="shared" si="74"/>
        <v>322216.02547776554</v>
      </c>
      <c r="H1199" s="544">
        <f t="shared" si="75"/>
        <v>322216.02547776554</v>
      </c>
      <c r="I1199" s="541">
        <f t="shared" si="76"/>
        <v>0</v>
      </c>
      <c r="J1199" s="541"/>
      <c r="K1199" s="561"/>
      <c r="L1199" s="545"/>
      <c r="M1199" s="561"/>
      <c r="N1199" s="545"/>
      <c r="O1199" s="545"/>
    </row>
    <row r="1200" spans="3:15">
      <c r="C1200" s="537">
        <f>IF(D1171="","-",+C1199+1)</f>
        <v>2047</v>
      </c>
      <c r="D1200" s="495">
        <f t="shared" si="72"/>
        <v>1686020.0481481487</v>
      </c>
      <c r="E1200" s="538">
        <f t="shared" si="77"/>
        <v>126451.50361111111</v>
      </c>
      <c r="F1200" s="495">
        <f t="shared" si="73"/>
        <v>1559568.5445370376</v>
      </c>
      <c r="G1200" s="543">
        <f t="shared" si="74"/>
        <v>308064.37329463393</v>
      </c>
      <c r="H1200" s="544">
        <f t="shared" si="75"/>
        <v>308064.37329463393</v>
      </c>
      <c r="I1200" s="541">
        <f t="shared" si="76"/>
        <v>0</v>
      </c>
      <c r="J1200" s="541"/>
      <c r="K1200" s="561"/>
      <c r="L1200" s="545"/>
      <c r="M1200" s="561"/>
      <c r="N1200" s="545"/>
      <c r="O1200" s="545"/>
    </row>
    <row r="1201" spans="3:15">
      <c r="C1201" s="537">
        <f>IF(D1171="","-",+C1200+1)</f>
        <v>2048</v>
      </c>
      <c r="D1201" s="495">
        <f t="shared" si="72"/>
        <v>1559568.5445370376</v>
      </c>
      <c r="E1201" s="538">
        <f t="shared" si="77"/>
        <v>126451.50361111111</v>
      </c>
      <c r="F1201" s="495">
        <f t="shared" si="73"/>
        <v>1433117.0409259265</v>
      </c>
      <c r="G1201" s="543">
        <f t="shared" si="74"/>
        <v>293912.72111150227</v>
      </c>
      <c r="H1201" s="544">
        <f t="shared" si="75"/>
        <v>293912.72111150227</v>
      </c>
      <c r="I1201" s="541">
        <f t="shared" si="76"/>
        <v>0</v>
      </c>
      <c r="J1201" s="541"/>
      <c r="K1201" s="561"/>
      <c r="L1201" s="545"/>
      <c r="M1201" s="561"/>
      <c r="N1201" s="545"/>
      <c r="O1201" s="545"/>
    </row>
    <row r="1202" spans="3:15">
      <c r="C1202" s="537">
        <f>IF(D1171="","-",+C1201+1)</f>
        <v>2049</v>
      </c>
      <c r="D1202" s="495">
        <f t="shared" si="72"/>
        <v>1433117.0409259265</v>
      </c>
      <c r="E1202" s="538">
        <f t="shared" si="77"/>
        <v>126451.50361111111</v>
      </c>
      <c r="F1202" s="495">
        <f t="shared" si="73"/>
        <v>1306665.5373148154</v>
      </c>
      <c r="G1202" s="543">
        <f t="shared" si="74"/>
        <v>279761.0689283706</v>
      </c>
      <c r="H1202" s="544">
        <f t="shared" si="75"/>
        <v>279761.0689283706</v>
      </c>
      <c r="I1202" s="541">
        <f t="shared" si="76"/>
        <v>0</v>
      </c>
      <c r="J1202" s="541"/>
      <c r="K1202" s="561"/>
      <c r="L1202" s="545"/>
      <c r="M1202" s="561"/>
      <c r="N1202" s="545"/>
      <c r="O1202" s="545"/>
    </row>
    <row r="1203" spans="3:15">
      <c r="C1203" s="537">
        <f>IF(D1171="","-",+C1202+1)</f>
        <v>2050</v>
      </c>
      <c r="D1203" s="495">
        <f t="shared" si="72"/>
        <v>1306665.5373148154</v>
      </c>
      <c r="E1203" s="538">
        <f t="shared" si="77"/>
        <v>126451.50361111111</v>
      </c>
      <c r="F1203" s="495">
        <f t="shared" si="73"/>
        <v>1180214.0337037044</v>
      </c>
      <c r="G1203" s="543">
        <f t="shared" si="74"/>
        <v>265609.416745239</v>
      </c>
      <c r="H1203" s="544">
        <f t="shared" si="75"/>
        <v>265609.416745239</v>
      </c>
      <c r="I1203" s="541">
        <f t="shared" si="76"/>
        <v>0</v>
      </c>
      <c r="J1203" s="541"/>
      <c r="K1203" s="561"/>
      <c r="L1203" s="545"/>
      <c r="M1203" s="561"/>
      <c r="N1203" s="545"/>
      <c r="O1203" s="545"/>
    </row>
    <row r="1204" spans="3:15">
      <c r="C1204" s="537">
        <f>IF(D1171="","-",+C1203+1)</f>
        <v>2051</v>
      </c>
      <c r="D1204" s="495">
        <f t="shared" si="72"/>
        <v>1180214.0337037044</v>
      </c>
      <c r="E1204" s="538">
        <f t="shared" si="77"/>
        <v>126451.50361111111</v>
      </c>
      <c r="F1204" s="495">
        <f t="shared" si="73"/>
        <v>1053762.5300925933</v>
      </c>
      <c r="G1204" s="543">
        <f t="shared" si="74"/>
        <v>251457.76456210733</v>
      </c>
      <c r="H1204" s="544">
        <f t="shared" si="75"/>
        <v>251457.76456210733</v>
      </c>
      <c r="I1204" s="541">
        <f t="shared" si="76"/>
        <v>0</v>
      </c>
      <c r="J1204" s="541"/>
      <c r="K1204" s="561"/>
      <c r="L1204" s="545"/>
      <c r="M1204" s="561"/>
      <c r="N1204" s="545"/>
      <c r="O1204" s="545"/>
    </row>
    <row r="1205" spans="3:15">
      <c r="C1205" s="537">
        <f>IF(D1171="","-",+C1204+1)</f>
        <v>2052</v>
      </c>
      <c r="D1205" s="495">
        <f t="shared" si="72"/>
        <v>1053762.5300925933</v>
      </c>
      <c r="E1205" s="538">
        <f t="shared" si="77"/>
        <v>126451.50361111111</v>
      </c>
      <c r="F1205" s="495">
        <f t="shared" si="73"/>
        <v>927311.0264814822</v>
      </c>
      <c r="G1205" s="539">
        <f t="shared" si="74"/>
        <v>237306.11237897573</v>
      </c>
      <c r="H1205" s="544">
        <f t="shared" si="75"/>
        <v>237306.11237897573</v>
      </c>
      <c r="I1205" s="541">
        <f t="shared" si="76"/>
        <v>0</v>
      </c>
      <c r="J1205" s="541"/>
      <c r="K1205" s="561"/>
      <c r="L1205" s="545"/>
      <c r="M1205" s="561"/>
      <c r="N1205" s="545"/>
      <c r="O1205" s="545"/>
    </row>
    <row r="1206" spans="3:15">
      <c r="C1206" s="537">
        <f>IF(D1171="","-",+C1205+1)</f>
        <v>2053</v>
      </c>
      <c r="D1206" s="495">
        <f t="shared" si="72"/>
        <v>927311.0264814822</v>
      </c>
      <c r="E1206" s="538">
        <f t="shared" si="77"/>
        <v>126451.50361111111</v>
      </c>
      <c r="F1206" s="495">
        <f t="shared" si="73"/>
        <v>800859.52287037112</v>
      </c>
      <c r="G1206" s="543">
        <f t="shared" si="74"/>
        <v>223154.46019584406</v>
      </c>
      <c r="H1206" s="544">
        <f t="shared" si="75"/>
        <v>223154.46019584406</v>
      </c>
      <c r="I1206" s="541">
        <f t="shared" si="76"/>
        <v>0</v>
      </c>
      <c r="J1206" s="541"/>
      <c r="K1206" s="561"/>
      <c r="L1206" s="545"/>
      <c r="M1206" s="561"/>
      <c r="N1206" s="545"/>
      <c r="O1206" s="545"/>
    </row>
    <row r="1207" spans="3:15">
      <c r="C1207" s="537">
        <f>IF(D1171="","-",+C1206+1)</f>
        <v>2054</v>
      </c>
      <c r="D1207" s="495">
        <f t="shared" si="72"/>
        <v>800859.52287037112</v>
      </c>
      <c r="E1207" s="538">
        <f t="shared" si="77"/>
        <v>126451.50361111111</v>
      </c>
      <c r="F1207" s="495">
        <f t="shared" si="73"/>
        <v>674408.01925926004</v>
      </c>
      <c r="G1207" s="543">
        <f t="shared" si="74"/>
        <v>209002.80801271246</v>
      </c>
      <c r="H1207" s="544">
        <f t="shared" si="75"/>
        <v>209002.80801271246</v>
      </c>
      <c r="I1207" s="541">
        <f t="shared" si="76"/>
        <v>0</v>
      </c>
      <c r="J1207" s="541"/>
      <c r="K1207" s="561"/>
      <c r="L1207" s="545"/>
      <c r="M1207" s="561"/>
      <c r="N1207" s="545"/>
      <c r="O1207" s="545"/>
    </row>
    <row r="1208" spans="3:15">
      <c r="C1208" s="537">
        <f>IF(D1171="","-",+C1207+1)</f>
        <v>2055</v>
      </c>
      <c r="D1208" s="495">
        <f t="shared" si="72"/>
        <v>674408.01925926004</v>
      </c>
      <c r="E1208" s="538">
        <f t="shared" si="77"/>
        <v>126451.50361111111</v>
      </c>
      <c r="F1208" s="495">
        <f t="shared" si="73"/>
        <v>547956.51564814895</v>
      </c>
      <c r="G1208" s="543">
        <f t="shared" si="74"/>
        <v>194851.15582958079</v>
      </c>
      <c r="H1208" s="544">
        <f t="shared" si="75"/>
        <v>194851.15582958079</v>
      </c>
      <c r="I1208" s="541">
        <f t="shared" si="76"/>
        <v>0</v>
      </c>
      <c r="J1208" s="541"/>
      <c r="K1208" s="561"/>
      <c r="L1208" s="545"/>
      <c r="M1208" s="561"/>
      <c r="N1208" s="545"/>
      <c r="O1208" s="545"/>
    </row>
    <row r="1209" spans="3:15">
      <c r="C1209" s="537">
        <f>IF(D1171="","-",+C1208+1)</f>
        <v>2056</v>
      </c>
      <c r="D1209" s="495">
        <f t="shared" si="72"/>
        <v>547956.51564814895</v>
      </c>
      <c r="E1209" s="538">
        <f t="shared" si="77"/>
        <v>126451.50361111111</v>
      </c>
      <c r="F1209" s="495">
        <f t="shared" si="73"/>
        <v>421505.01203703787</v>
      </c>
      <c r="G1209" s="543">
        <f t="shared" si="74"/>
        <v>180699.50364644916</v>
      </c>
      <c r="H1209" s="544">
        <f t="shared" si="75"/>
        <v>180699.50364644916</v>
      </c>
      <c r="I1209" s="541">
        <f t="shared" si="76"/>
        <v>0</v>
      </c>
      <c r="J1209" s="541"/>
      <c r="K1209" s="561"/>
      <c r="L1209" s="545"/>
      <c r="M1209" s="561"/>
      <c r="N1209" s="545"/>
      <c r="O1209" s="545"/>
    </row>
    <row r="1210" spans="3:15">
      <c r="C1210" s="537">
        <f>IF(D1171="","-",+C1209+1)</f>
        <v>2057</v>
      </c>
      <c r="D1210" s="495">
        <f t="shared" si="72"/>
        <v>421505.01203703787</v>
      </c>
      <c r="E1210" s="538">
        <f t="shared" si="77"/>
        <v>126451.50361111111</v>
      </c>
      <c r="F1210" s="495">
        <f t="shared" si="73"/>
        <v>295053.50842592679</v>
      </c>
      <c r="G1210" s="543">
        <f t="shared" si="74"/>
        <v>166547.85146331752</v>
      </c>
      <c r="H1210" s="544">
        <f t="shared" si="75"/>
        <v>166547.85146331752</v>
      </c>
      <c r="I1210" s="541">
        <f t="shared" si="76"/>
        <v>0</v>
      </c>
      <c r="J1210" s="541"/>
      <c r="K1210" s="561"/>
      <c r="L1210" s="545"/>
      <c r="M1210" s="561"/>
      <c r="N1210" s="545"/>
      <c r="O1210" s="545"/>
    </row>
    <row r="1211" spans="3:15">
      <c r="C1211" s="537">
        <f>IF(D1171="","-",+C1210+1)</f>
        <v>2058</v>
      </c>
      <c r="D1211" s="495">
        <f t="shared" si="72"/>
        <v>295053.50842592679</v>
      </c>
      <c r="E1211" s="538">
        <f t="shared" si="77"/>
        <v>126451.50361111111</v>
      </c>
      <c r="F1211" s="495">
        <f t="shared" si="73"/>
        <v>168602.00481481568</v>
      </c>
      <c r="G1211" s="543">
        <f t="shared" si="74"/>
        <v>152396.19928018589</v>
      </c>
      <c r="H1211" s="544">
        <f t="shared" si="75"/>
        <v>152396.19928018589</v>
      </c>
      <c r="I1211" s="541">
        <f t="shared" si="76"/>
        <v>0</v>
      </c>
      <c r="J1211" s="541"/>
      <c r="K1211" s="561"/>
      <c r="L1211" s="545"/>
      <c r="M1211" s="561"/>
      <c r="N1211" s="545"/>
      <c r="O1211" s="545"/>
    </row>
    <row r="1212" spans="3:15">
      <c r="C1212" s="537">
        <f>IF(D1171="","-",+C1211+1)</f>
        <v>2059</v>
      </c>
      <c r="D1212" s="495">
        <f t="shared" si="72"/>
        <v>168602.00481481568</v>
      </c>
      <c r="E1212" s="538">
        <f t="shared" si="77"/>
        <v>126451.50361111111</v>
      </c>
      <c r="F1212" s="495">
        <f t="shared" si="73"/>
        <v>42150.501203704567</v>
      </c>
      <c r="G1212" s="543">
        <f t="shared" si="74"/>
        <v>138244.54709705425</v>
      </c>
      <c r="H1212" s="544">
        <f t="shared" si="75"/>
        <v>138244.54709705425</v>
      </c>
      <c r="I1212" s="541">
        <f t="shared" si="76"/>
        <v>0</v>
      </c>
      <c r="J1212" s="541"/>
      <c r="K1212" s="561"/>
      <c r="L1212" s="545"/>
      <c r="M1212" s="561"/>
      <c r="N1212" s="545"/>
      <c r="O1212" s="545"/>
    </row>
    <row r="1213" spans="3:15">
      <c r="C1213" s="537">
        <f>IF(D1171="","-",+C1212+1)</f>
        <v>2060</v>
      </c>
      <c r="D1213" s="495">
        <f t="shared" si="72"/>
        <v>42150.501203704567</v>
      </c>
      <c r="E1213" s="538">
        <f t="shared" si="77"/>
        <v>42150.501203704567</v>
      </c>
      <c r="F1213" s="495">
        <f t="shared" si="73"/>
        <v>0</v>
      </c>
      <c r="G1213" s="543">
        <f t="shared" si="74"/>
        <v>44509.109900893221</v>
      </c>
      <c r="H1213" s="544">
        <f t="shared" si="75"/>
        <v>44509.109900893221</v>
      </c>
      <c r="I1213" s="541">
        <f t="shared" si="76"/>
        <v>0</v>
      </c>
      <c r="J1213" s="541"/>
      <c r="K1213" s="561"/>
      <c r="L1213" s="545"/>
      <c r="M1213" s="561"/>
      <c r="N1213" s="545"/>
      <c r="O1213" s="545"/>
    </row>
    <row r="1214" spans="3:15">
      <c r="C1214" s="537">
        <f>IF(D1171="","-",+C1213+1)</f>
        <v>2061</v>
      </c>
      <c r="D1214" s="495">
        <f t="shared" si="72"/>
        <v>0</v>
      </c>
      <c r="E1214" s="538">
        <f t="shared" si="77"/>
        <v>0</v>
      </c>
      <c r="F1214" s="495">
        <f t="shared" si="73"/>
        <v>0</v>
      </c>
      <c r="G1214" s="543">
        <f t="shared" si="74"/>
        <v>0</v>
      </c>
      <c r="H1214" s="544">
        <f t="shared" si="75"/>
        <v>0</v>
      </c>
      <c r="I1214" s="541">
        <f t="shared" si="76"/>
        <v>0</v>
      </c>
      <c r="J1214" s="541"/>
      <c r="K1214" s="561"/>
      <c r="L1214" s="545"/>
      <c r="M1214" s="561"/>
      <c r="N1214" s="545"/>
      <c r="O1214" s="545"/>
    </row>
    <row r="1215" spans="3:15">
      <c r="C1215" s="537">
        <f>IF(D1171="","-",+C1214+1)</f>
        <v>2062</v>
      </c>
      <c r="D1215" s="495">
        <f t="shared" si="72"/>
        <v>0</v>
      </c>
      <c r="E1215" s="538">
        <f t="shared" si="77"/>
        <v>0</v>
      </c>
      <c r="F1215" s="495">
        <f t="shared" si="73"/>
        <v>0</v>
      </c>
      <c r="G1215" s="543">
        <f t="shared" si="74"/>
        <v>0</v>
      </c>
      <c r="H1215" s="544">
        <f t="shared" si="75"/>
        <v>0</v>
      </c>
      <c r="I1215" s="541">
        <f t="shared" si="76"/>
        <v>0</v>
      </c>
      <c r="J1215" s="541"/>
      <c r="K1215" s="561"/>
      <c r="L1215" s="545"/>
      <c r="M1215" s="561"/>
      <c r="N1215" s="545"/>
      <c r="O1215" s="545"/>
    </row>
    <row r="1216" spans="3:15">
      <c r="C1216" s="537">
        <f>IF(D1171="","-",+C1215+1)</f>
        <v>2063</v>
      </c>
      <c r="D1216" s="495">
        <f t="shared" si="72"/>
        <v>0</v>
      </c>
      <c r="E1216" s="538">
        <f t="shared" si="77"/>
        <v>0</v>
      </c>
      <c r="F1216" s="495">
        <f t="shared" si="73"/>
        <v>0</v>
      </c>
      <c r="G1216" s="543">
        <f t="shared" si="74"/>
        <v>0</v>
      </c>
      <c r="H1216" s="544">
        <f t="shared" si="75"/>
        <v>0</v>
      </c>
      <c r="I1216" s="541">
        <f t="shared" si="76"/>
        <v>0</v>
      </c>
      <c r="J1216" s="541"/>
      <c r="K1216" s="561"/>
      <c r="L1216" s="545"/>
      <c r="M1216" s="561"/>
      <c r="N1216" s="545"/>
      <c r="O1216" s="545"/>
    </row>
    <row r="1217" spans="3:15">
      <c r="C1217" s="537">
        <f>IF(D1171="","-",+C1216+1)</f>
        <v>2064</v>
      </c>
      <c r="D1217" s="495">
        <f t="shared" si="72"/>
        <v>0</v>
      </c>
      <c r="E1217" s="538">
        <f t="shared" si="77"/>
        <v>0</v>
      </c>
      <c r="F1217" s="495">
        <f t="shared" si="73"/>
        <v>0</v>
      </c>
      <c r="G1217" s="543">
        <f t="shared" si="74"/>
        <v>0</v>
      </c>
      <c r="H1217" s="544">
        <f t="shared" si="75"/>
        <v>0</v>
      </c>
      <c r="I1217" s="541">
        <f t="shared" si="76"/>
        <v>0</v>
      </c>
      <c r="J1217" s="541"/>
      <c r="K1217" s="561"/>
      <c r="L1217" s="545"/>
      <c r="M1217" s="561"/>
      <c r="N1217" s="545"/>
      <c r="O1217" s="545"/>
    </row>
    <row r="1218" spans="3:15">
      <c r="C1218" s="537">
        <f>IF(D1171="","-",+C1217+1)</f>
        <v>2065</v>
      </c>
      <c r="D1218" s="495">
        <f t="shared" si="72"/>
        <v>0</v>
      </c>
      <c r="E1218" s="538">
        <f t="shared" si="77"/>
        <v>0</v>
      </c>
      <c r="F1218" s="495">
        <f t="shared" si="73"/>
        <v>0</v>
      </c>
      <c r="G1218" s="543">
        <f t="shared" si="74"/>
        <v>0</v>
      </c>
      <c r="H1218" s="544">
        <f t="shared" si="75"/>
        <v>0</v>
      </c>
      <c r="I1218" s="541">
        <f t="shared" si="76"/>
        <v>0</v>
      </c>
      <c r="J1218" s="541"/>
      <c r="K1218" s="561"/>
      <c r="L1218" s="545"/>
      <c r="M1218" s="561"/>
      <c r="N1218" s="545"/>
      <c r="O1218" s="545"/>
    </row>
    <row r="1219" spans="3:15">
      <c r="C1219" s="537">
        <f>IF(D1171="","-",+C1218+1)</f>
        <v>2066</v>
      </c>
      <c r="D1219" s="495">
        <f t="shared" si="72"/>
        <v>0</v>
      </c>
      <c r="E1219" s="538">
        <f t="shared" si="77"/>
        <v>0</v>
      </c>
      <c r="F1219" s="495">
        <f t="shared" si="73"/>
        <v>0</v>
      </c>
      <c r="G1219" s="543">
        <f t="shared" si="74"/>
        <v>0</v>
      </c>
      <c r="H1219" s="544">
        <f t="shared" si="75"/>
        <v>0</v>
      </c>
      <c r="I1219" s="541">
        <f t="shared" si="76"/>
        <v>0</v>
      </c>
      <c r="J1219" s="541"/>
      <c r="K1219" s="561"/>
      <c r="L1219" s="545"/>
      <c r="M1219" s="561"/>
      <c r="N1219" s="545"/>
      <c r="O1219" s="545"/>
    </row>
    <row r="1220" spans="3:15">
      <c r="C1220" s="537">
        <f>IF(D1171="","-",+C1219+1)</f>
        <v>2067</v>
      </c>
      <c r="D1220" s="495">
        <f t="shared" si="72"/>
        <v>0</v>
      </c>
      <c r="E1220" s="538">
        <f t="shared" si="77"/>
        <v>0</v>
      </c>
      <c r="F1220" s="495">
        <f t="shared" si="73"/>
        <v>0</v>
      </c>
      <c r="G1220" s="543">
        <f t="shared" si="74"/>
        <v>0</v>
      </c>
      <c r="H1220" s="544">
        <f t="shared" si="75"/>
        <v>0</v>
      </c>
      <c r="I1220" s="541">
        <f t="shared" si="76"/>
        <v>0</v>
      </c>
      <c r="J1220" s="541"/>
      <c r="K1220" s="561"/>
      <c r="L1220" s="545"/>
      <c r="M1220" s="561"/>
      <c r="N1220" s="545"/>
      <c r="O1220" s="545"/>
    </row>
    <row r="1221" spans="3:15">
      <c r="C1221" s="537">
        <f>IF(D1171="","-",+C1220+1)</f>
        <v>2068</v>
      </c>
      <c r="D1221" s="495">
        <f t="shared" si="72"/>
        <v>0</v>
      </c>
      <c r="E1221" s="538">
        <f t="shared" si="77"/>
        <v>0</v>
      </c>
      <c r="F1221" s="495">
        <f t="shared" si="73"/>
        <v>0</v>
      </c>
      <c r="G1221" s="543">
        <f t="shared" si="74"/>
        <v>0</v>
      </c>
      <c r="H1221" s="544">
        <f t="shared" si="75"/>
        <v>0</v>
      </c>
      <c r="I1221" s="541">
        <f t="shared" si="76"/>
        <v>0</v>
      </c>
      <c r="J1221" s="541"/>
      <c r="K1221" s="561"/>
      <c r="L1221" s="545"/>
      <c r="M1221" s="561"/>
      <c r="N1221" s="545"/>
      <c r="O1221" s="545"/>
    </row>
    <row r="1222" spans="3:15">
      <c r="C1222" s="537">
        <f>IF(D1171="","-",+C1221+1)</f>
        <v>2069</v>
      </c>
      <c r="D1222" s="495">
        <f t="shared" si="72"/>
        <v>0</v>
      </c>
      <c r="E1222" s="538">
        <f t="shared" si="77"/>
        <v>0</v>
      </c>
      <c r="F1222" s="495">
        <f t="shared" si="73"/>
        <v>0</v>
      </c>
      <c r="G1222" s="543">
        <f t="shared" si="74"/>
        <v>0</v>
      </c>
      <c r="H1222" s="544">
        <f t="shared" si="75"/>
        <v>0</v>
      </c>
      <c r="I1222" s="541">
        <f t="shared" si="76"/>
        <v>0</v>
      </c>
      <c r="J1222" s="541"/>
      <c r="K1222" s="561"/>
      <c r="L1222" s="545"/>
      <c r="M1222" s="561"/>
      <c r="N1222" s="545"/>
      <c r="O1222" s="545"/>
    </row>
    <row r="1223" spans="3:15">
      <c r="C1223" s="537">
        <f>IF(D1171="","-",+C1222+1)</f>
        <v>2070</v>
      </c>
      <c r="D1223" s="495">
        <f t="shared" si="72"/>
        <v>0</v>
      </c>
      <c r="E1223" s="538">
        <f t="shared" si="77"/>
        <v>0</v>
      </c>
      <c r="F1223" s="495">
        <f t="shared" si="73"/>
        <v>0</v>
      </c>
      <c r="G1223" s="543">
        <f t="shared" si="74"/>
        <v>0</v>
      </c>
      <c r="H1223" s="544">
        <f t="shared" si="75"/>
        <v>0</v>
      </c>
      <c r="I1223" s="541">
        <f t="shared" si="76"/>
        <v>0</v>
      </c>
      <c r="J1223" s="541"/>
      <c r="K1223" s="561"/>
      <c r="L1223" s="545"/>
      <c r="M1223" s="561"/>
      <c r="N1223" s="545"/>
      <c r="O1223" s="545"/>
    </row>
    <row r="1224" spans="3:15">
      <c r="C1224" s="537">
        <f>IF(D1171="","-",+C1223+1)</f>
        <v>2071</v>
      </c>
      <c r="D1224" s="495">
        <f t="shared" si="72"/>
        <v>0</v>
      </c>
      <c r="E1224" s="538">
        <f t="shared" si="77"/>
        <v>0</v>
      </c>
      <c r="F1224" s="495">
        <f t="shared" si="73"/>
        <v>0</v>
      </c>
      <c r="G1224" s="543">
        <f t="shared" si="74"/>
        <v>0</v>
      </c>
      <c r="H1224" s="544">
        <f t="shared" si="75"/>
        <v>0</v>
      </c>
      <c r="I1224" s="541">
        <f t="shared" si="76"/>
        <v>0</v>
      </c>
      <c r="J1224" s="541"/>
      <c r="K1224" s="561"/>
      <c r="L1224" s="545"/>
      <c r="M1224" s="561"/>
      <c r="N1224" s="545"/>
      <c r="O1224" s="545"/>
    </row>
    <row r="1225" spans="3:15">
      <c r="C1225" s="537">
        <f>IF(D1171="","-",+C1224+1)</f>
        <v>2072</v>
      </c>
      <c r="D1225" s="495">
        <f t="shared" si="72"/>
        <v>0</v>
      </c>
      <c r="E1225" s="538">
        <f t="shared" si="77"/>
        <v>0</v>
      </c>
      <c r="F1225" s="495">
        <f t="shared" si="73"/>
        <v>0</v>
      </c>
      <c r="G1225" s="543">
        <f t="shared" si="74"/>
        <v>0</v>
      </c>
      <c r="H1225" s="544">
        <f t="shared" si="75"/>
        <v>0</v>
      </c>
      <c r="I1225" s="541">
        <f t="shared" si="76"/>
        <v>0</v>
      </c>
      <c r="J1225" s="541"/>
      <c r="K1225" s="561"/>
      <c r="L1225" s="545"/>
      <c r="M1225" s="561"/>
      <c r="N1225" s="545"/>
      <c r="O1225" s="545"/>
    </row>
    <row r="1226" spans="3:15">
      <c r="C1226" s="537">
        <f>IF(D1171="","-",+C1225+1)</f>
        <v>2073</v>
      </c>
      <c r="D1226" s="495">
        <f t="shared" si="72"/>
        <v>0</v>
      </c>
      <c r="E1226" s="538">
        <f t="shared" si="77"/>
        <v>0</v>
      </c>
      <c r="F1226" s="495">
        <f t="shared" si="73"/>
        <v>0</v>
      </c>
      <c r="G1226" s="543">
        <f t="shared" si="74"/>
        <v>0</v>
      </c>
      <c r="H1226" s="544">
        <f t="shared" si="75"/>
        <v>0</v>
      </c>
      <c r="I1226" s="541">
        <f t="shared" si="76"/>
        <v>0</v>
      </c>
      <c r="J1226" s="541"/>
      <c r="K1226" s="561"/>
      <c r="L1226" s="545"/>
      <c r="M1226" s="561"/>
      <c r="N1226" s="545"/>
      <c r="O1226" s="545"/>
    </row>
    <row r="1227" spans="3:15">
      <c r="C1227" s="537">
        <f>IF(D1171="","-",+C1226+1)</f>
        <v>2074</v>
      </c>
      <c r="D1227" s="495">
        <f t="shared" si="72"/>
        <v>0</v>
      </c>
      <c r="E1227" s="538">
        <f t="shared" si="77"/>
        <v>0</v>
      </c>
      <c r="F1227" s="495">
        <f t="shared" si="73"/>
        <v>0</v>
      </c>
      <c r="G1227" s="543">
        <f t="shared" si="74"/>
        <v>0</v>
      </c>
      <c r="H1227" s="544">
        <f t="shared" si="75"/>
        <v>0</v>
      </c>
      <c r="I1227" s="541">
        <f t="shared" si="76"/>
        <v>0</v>
      </c>
      <c r="J1227" s="541"/>
      <c r="K1227" s="561"/>
      <c r="L1227" s="545"/>
      <c r="M1227" s="561"/>
      <c r="N1227" s="545"/>
      <c r="O1227" s="545"/>
    </row>
    <row r="1228" spans="3:15">
      <c r="C1228" s="537">
        <f>IF(D1171="","-",+C1227+1)</f>
        <v>2075</v>
      </c>
      <c r="D1228" s="495">
        <f t="shared" si="72"/>
        <v>0</v>
      </c>
      <c r="E1228" s="538">
        <f t="shared" si="77"/>
        <v>0</v>
      </c>
      <c r="F1228" s="495">
        <f t="shared" si="73"/>
        <v>0</v>
      </c>
      <c r="G1228" s="543">
        <f t="shared" si="74"/>
        <v>0</v>
      </c>
      <c r="H1228" s="544">
        <f t="shared" si="75"/>
        <v>0</v>
      </c>
      <c r="I1228" s="541">
        <f t="shared" si="76"/>
        <v>0</v>
      </c>
      <c r="J1228" s="541"/>
      <c r="K1228" s="561"/>
      <c r="L1228" s="545"/>
      <c r="M1228" s="561"/>
      <c r="N1228" s="545"/>
      <c r="O1228" s="545"/>
    </row>
    <row r="1229" spans="3:15">
      <c r="C1229" s="537">
        <f>IF(D1171="","-",+C1228+1)</f>
        <v>2076</v>
      </c>
      <c r="D1229" s="495">
        <f t="shared" si="72"/>
        <v>0</v>
      </c>
      <c r="E1229" s="538">
        <f t="shared" si="77"/>
        <v>0</v>
      </c>
      <c r="F1229" s="495">
        <f t="shared" si="73"/>
        <v>0</v>
      </c>
      <c r="G1229" s="543">
        <f t="shared" si="74"/>
        <v>0</v>
      </c>
      <c r="H1229" s="544">
        <f t="shared" si="75"/>
        <v>0</v>
      </c>
      <c r="I1229" s="541">
        <f t="shared" si="76"/>
        <v>0</v>
      </c>
      <c r="J1229" s="541"/>
      <c r="K1229" s="561"/>
      <c r="L1229" s="545"/>
      <c r="M1229" s="561"/>
      <c r="N1229" s="545"/>
      <c r="O1229" s="545"/>
    </row>
    <row r="1230" spans="3:15">
      <c r="C1230" s="537">
        <f>IF(D1171="","-",+C1229+1)</f>
        <v>2077</v>
      </c>
      <c r="D1230" s="495">
        <f t="shared" si="72"/>
        <v>0</v>
      </c>
      <c r="E1230" s="538">
        <f t="shared" si="77"/>
        <v>0</v>
      </c>
      <c r="F1230" s="495">
        <f t="shared" si="73"/>
        <v>0</v>
      </c>
      <c r="G1230" s="543">
        <f t="shared" si="74"/>
        <v>0</v>
      </c>
      <c r="H1230" s="544">
        <f t="shared" si="75"/>
        <v>0</v>
      </c>
      <c r="I1230" s="541">
        <f t="shared" si="76"/>
        <v>0</v>
      </c>
      <c r="J1230" s="541"/>
      <c r="K1230" s="561"/>
      <c r="L1230" s="545"/>
      <c r="M1230" s="561"/>
      <c r="N1230" s="545"/>
      <c r="O1230" s="545"/>
    </row>
    <row r="1231" spans="3:15">
      <c r="C1231" s="537">
        <f>IF(D1171="","-",+C1230+1)</f>
        <v>2078</v>
      </c>
      <c r="D1231" s="495">
        <f t="shared" si="72"/>
        <v>0</v>
      </c>
      <c r="E1231" s="538">
        <f t="shared" si="77"/>
        <v>0</v>
      </c>
      <c r="F1231" s="495">
        <f t="shared" si="73"/>
        <v>0</v>
      </c>
      <c r="G1231" s="543">
        <f t="shared" si="74"/>
        <v>0</v>
      </c>
      <c r="H1231" s="544">
        <f t="shared" si="75"/>
        <v>0</v>
      </c>
      <c r="I1231" s="541">
        <f t="shared" si="76"/>
        <v>0</v>
      </c>
      <c r="J1231" s="541"/>
      <c r="K1231" s="561"/>
      <c r="L1231" s="545"/>
      <c r="M1231" s="561"/>
      <c r="N1231" s="545"/>
      <c r="O1231" s="545"/>
    </row>
    <row r="1232" spans="3:15">
      <c r="C1232" s="537">
        <f>IF(D1171="","-",+C1231+1)</f>
        <v>2079</v>
      </c>
      <c r="D1232" s="495">
        <f t="shared" si="72"/>
        <v>0</v>
      </c>
      <c r="E1232" s="538">
        <f t="shared" si="77"/>
        <v>0</v>
      </c>
      <c r="F1232" s="495">
        <f t="shared" si="73"/>
        <v>0</v>
      </c>
      <c r="G1232" s="543">
        <f t="shared" si="74"/>
        <v>0</v>
      </c>
      <c r="H1232" s="544">
        <f t="shared" si="75"/>
        <v>0</v>
      </c>
      <c r="I1232" s="541">
        <f t="shared" si="76"/>
        <v>0</v>
      </c>
      <c r="J1232" s="541"/>
      <c r="K1232" s="561"/>
      <c r="L1232" s="545"/>
      <c r="M1232" s="561"/>
      <c r="N1232" s="545"/>
      <c r="O1232" s="545"/>
    </row>
    <row r="1233" spans="1:15">
      <c r="C1233" s="537">
        <f>IF(D1171="","-",+C1232+1)</f>
        <v>2080</v>
      </c>
      <c r="D1233" s="495">
        <f t="shared" si="72"/>
        <v>0</v>
      </c>
      <c r="E1233" s="538">
        <f t="shared" si="77"/>
        <v>0</v>
      </c>
      <c r="F1233" s="495">
        <f t="shared" si="73"/>
        <v>0</v>
      </c>
      <c r="G1233" s="543">
        <f t="shared" si="74"/>
        <v>0</v>
      </c>
      <c r="H1233" s="544">
        <f t="shared" si="75"/>
        <v>0</v>
      </c>
      <c r="I1233" s="541">
        <f t="shared" si="76"/>
        <v>0</v>
      </c>
      <c r="J1233" s="541"/>
      <c r="K1233" s="561"/>
      <c r="L1233" s="545"/>
      <c r="M1233" s="561"/>
      <c r="N1233" s="545"/>
      <c r="O1233" s="545"/>
    </row>
    <row r="1234" spans="1:15">
      <c r="C1234" s="537">
        <f>IF(D1171="","-",+C1233+1)</f>
        <v>2081</v>
      </c>
      <c r="D1234" s="495">
        <f t="shared" si="72"/>
        <v>0</v>
      </c>
      <c r="E1234" s="538">
        <f t="shared" si="77"/>
        <v>0</v>
      </c>
      <c r="F1234" s="495">
        <f t="shared" si="73"/>
        <v>0</v>
      </c>
      <c r="G1234" s="543">
        <f t="shared" si="74"/>
        <v>0</v>
      </c>
      <c r="H1234" s="544">
        <f t="shared" si="75"/>
        <v>0</v>
      </c>
      <c r="I1234" s="541">
        <f t="shared" si="76"/>
        <v>0</v>
      </c>
      <c r="J1234" s="541"/>
      <c r="K1234" s="561"/>
      <c r="L1234" s="545"/>
      <c r="M1234" s="561"/>
      <c r="N1234" s="545"/>
      <c r="O1234" s="545"/>
    </row>
    <row r="1235" spans="1:15">
      <c r="C1235" s="537">
        <f>IF(D1171="","-",+C1234+1)</f>
        <v>2082</v>
      </c>
      <c r="D1235" s="495">
        <f t="shared" si="72"/>
        <v>0</v>
      </c>
      <c r="E1235" s="538">
        <f t="shared" si="77"/>
        <v>0</v>
      </c>
      <c r="F1235" s="495">
        <f t="shared" si="73"/>
        <v>0</v>
      </c>
      <c r="G1235" s="543">
        <f t="shared" si="74"/>
        <v>0</v>
      </c>
      <c r="H1235" s="544">
        <f t="shared" si="75"/>
        <v>0</v>
      </c>
      <c r="I1235" s="541">
        <f t="shared" si="76"/>
        <v>0</v>
      </c>
      <c r="J1235" s="541"/>
      <c r="K1235" s="561"/>
      <c r="L1235" s="545"/>
      <c r="M1235" s="561"/>
      <c r="N1235" s="545"/>
      <c r="O1235" s="545"/>
    </row>
    <row r="1236" spans="1:15" ht="13.5" thickBot="1">
      <c r="C1236" s="547">
        <f>IF(D1171="","-",+C1235+1)</f>
        <v>2083</v>
      </c>
      <c r="D1236" s="548">
        <f t="shared" si="72"/>
        <v>0</v>
      </c>
      <c r="E1236" s="549">
        <f t="shared" si="77"/>
        <v>0</v>
      </c>
      <c r="F1236" s="548">
        <f t="shared" si="73"/>
        <v>0</v>
      </c>
      <c r="G1236" s="550">
        <f t="shared" si="74"/>
        <v>0</v>
      </c>
      <c r="H1236" s="550">
        <f t="shared" si="75"/>
        <v>0</v>
      </c>
      <c r="I1236" s="551">
        <f t="shared" si="76"/>
        <v>0</v>
      </c>
      <c r="J1236" s="541"/>
      <c r="K1236" s="562"/>
      <c r="L1236" s="552"/>
      <c r="M1236" s="562"/>
      <c r="N1236" s="552"/>
      <c r="O1236" s="552"/>
    </row>
    <row r="1237" spans="1:15">
      <c r="C1237" s="495" t="s">
        <v>91</v>
      </c>
      <c r="D1237" s="492"/>
      <c r="E1237" s="492">
        <f>SUM(E1177:E1236)</f>
        <v>4552254.1300000008</v>
      </c>
      <c r="F1237" s="492"/>
      <c r="G1237" s="492">
        <f>SUM(G1177:G1236)</f>
        <v>13892344.570866885</v>
      </c>
      <c r="H1237" s="492">
        <f>SUM(H1177:H1236)</f>
        <v>13892344.570866885</v>
      </c>
      <c r="I1237" s="492">
        <f>SUM(I1177:I1236)</f>
        <v>0</v>
      </c>
      <c r="J1237" s="492"/>
      <c r="K1237" s="492"/>
      <c r="L1237" s="492"/>
      <c r="M1237" s="492"/>
      <c r="N1237" s="492"/>
      <c r="O1237" s="3"/>
    </row>
    <row r="1238" spans="1:15">
      <c r="D1238" s="47"/>
      <c r="E1238" s="3"/>
      <c r="F1238" s="3"/>
      <c r="G1238" s="3"/>
      <c r="H1238" s="479"/>
      <c r="I1238" s="479"/>
      <c r="J1238" s="492"/>
      <c r="K1238" s="479"/>
      <c r="L1238" s="479"/>
      <c r="M1238" s="479"/>
      <c r="N1238" s="479"/>
      <c r="O1238" s="3"/>
    </row>
    <row r="1239" spans="1:15">
      <c r="C1239" s="3" t="s">
        <v>13</v>
      </c>
      <c r="D1239" s="47"/>
      <c r="E1239" s="3"/>
      <c r="F1239" s="3"/>
      <c r="G1239" s="3"/>
      <c r="H1239" s="479"/>
      <c r="I1239" s="479"/>
      <c r="J1239" s="492"/>
      <c r="K1239" s="479"/>
      <c r="L1239" s="479"/>
      <c r="M1239" s="479"/>
      <c r="N1239" s="479"/>
      <c r="O1239" s="3"/>
    </row>
    <row r="1240" spans="1:15">
      <c r="C1240" s="3"/>
      <c r="D1240" s="47"/>
      <c r="E1240" s="3"/>
      <c r="F1240" s="3"/>
      <c r="G1240" s="3"/>
      <c r="H1240" s="479"/>
      <c r="I1240" s="479"/>
      <c r="J1240" s="492"/>
      <c r="K1240" s="479"/>
      <c r="L1240" s="479"/>
      <c r="M1240" s="479"/>
      <c r="N1240" s="479"/>
      <c r="O1240" s="3"/>
    </row>
    <row r="1241" spans="1:15">
      <c r="C1241" s="507" t="s">
        <v>14</v>
      </c>
      <c r="D1241" s="495"/>
      <c r="E1241" s="495"/>
      <c r="F1241" s="495"/>
      <c r="G1241" s="492"/>
      <c r="H1241" s="492"/>
      <c r="I1241" s="553"/>
      <c r="J1241" s="553"/>
      <c r="K1241" s="553"/>
      <c r="L1241" s="553"/>
      <c r="M1241" s="553"/>
      <c r="N1241" s="553"/>
      <c r="O1241" s="3"/>
    </row>
    <row r="1242" spans="1:15">
      <c r="C1242" s="496" t="s">
        <v>271</v>
      </c>
      <c r="D1242" s="495"/>
      <c r="E1242" s="495"/>
      <c r="F1242" s="495"/>
      <c r="G1242" s="492"/>
      <c r="H1242" s="492"/>
      <c r="I1242" s="553"/>
      <c r="J1242" s="553"/>
      <c r="K1242" s="553"/>
      <c r="L1242" s="553"/>
      <c r="M1242" s="553"/>
      <c r="N1242" s="553"/>
      <c r="O1242" s="3"/>
    </row>
    <row r="1243" spans="1:15">
      <c r="C1243" s="496" t="s">
        <v>92</v>
      </c>
      <c r="D1243" s="495"/>
      <c r="E1243" s="495"/>
      <c r="F1243" s="495"/>
      <c r="G1243" s="492"/>
      <c r="H1243" s="492"/>
      <c r="I1243" s="553"/>
      <c r="J1243" s="553"/>
      <c r="K1243" s="553"/>
      <c r="L1243" s="553"/>
      <c r="M1243" s="553"/>
      <c r="N1243" s="553"/>
      <c r="O1243" s="3"/>
    </row>
    <row r="1244" spans="1:15">
      <c r="C1244" s="496"/>
      <c r="D1244" s="495"/>
      <c r="E1244" s="495"/>
      <c r="F1244" s="495"/>
      <c r="G1244" s="492"/>
      <c r="H1244" s="492"/>
      <c r="I1244" s="553"/>
      <c r="J1244" s="553"/>
      <c r="K1244" s="553"/>
      <c r="L1244" s="553"/>
      <c r="M1244" s="553"/>
      <c r="N1244" s="553"/>
      <c r="O1244" s="3"/>
    </row>
    <row r="1245" spans="1:15">
      <c r="C1245" s="1185" t="s">
        <v>6</v>
      </c>
      <c r="D1245" s="1185"/>
      <c r="E1245" s="1185"/>
      <c r="F1245" s="1185"/>
      <c r="G1245" s="1185"/>
      <c r="H1245" s="1185"/>
      <c r="I1245" s="1185"/>
      <c r="J1245" s="1185"/>
      <c r="K1245" s="1185"/>
      <c r="L1245" s="1185"/>
      <c r="M1245" s="1185"/>
      <c r="N1245" s="1185"/>
      <c r="O1245" s="1185"/>
    </row>
    <row r="1246" spans="1:15">
      <c r="C1246" s="1185"/>
      <c r="D1246" s="1185"/>
      <c r="E1246" s="1185"/>
      <c r="F1246" s="1185"/>
      <c r="G1246" s="1185"/>
      <c r="H1246" s="1185"/>
      <c r="I1246" s="1185"/>
      <c r="J1246" s="1185"/>
      <c r="K1246" s="1185"/>
      <c r="L1246" s="1185"/>
      <c r="M1246" s="1185"/>
      <c r="N1246" s="1185"/>
      <c r="O1246" s="1185"/>
    </row>
    <row r="1248" spans="1:15" ht="20.25">
      <c r="A1248" s="436" t="str">
        <f>""&amp;A1172&amp;" Worksheet J -  ATRR PROJECTED Calculation for PJM Projects Charged to Benefiting Zones"</f>
        <v xml:space="preserve"> Worksheet J -  ATRR PROJECTED Calculation for PJM Projects Charged to Benefiting Zones</v>
      </c>
      <c r="B1248" s="3"/>
      <c r="C1248" s="3"/>
      <c r="D1248" s="47"/>
      <c r="E1248" s="3"/>
      <c r="F1248" s="478"/>
      <c r="G1248" s="3"/>
      <c r="H1248" s="479"/>
      <c r="K1248" s="387"/>
      <c r="L1248" s="387"/>
      <c r="M1248" s="387"/>
      <c r="N1248" s="387" t="str">
        <f>"Page "&amp;SUM(P$8:P1337)&amp;" of "</f>
        <v xml:space="preserve">Page 12 of </v>
      </c>
      <c r="O1248" s="437">
        <f>COUNT(P$8:P$56562)</f>
        <v>12</v>
      </c>
    </row>
    <row r="1249" spans="1:15" ht="20.25">
      <c r="A1249" s="436"/>
      <c r="B1249" s="3"/>
      <c r="C1249" s="3"/>
      <c r="D1249" s="47"/>
      <c r="E1249" s="3"/>
      <c r="F1249" s="478"/>
      <c r="G1249" s="3"/>
      <c r="H1249" s="479"/>
      <c r="K1249" s="387"/>
      <c r="L1249" s="387"/>
      <c r="M1249" s="387"/>
      <c r="N1249" s="387"/>
      <c r="O1249" s="437"/>
    </row>
    <row r="1250" spans="1:15" ht="18">
      <c r="B1250" s="438" t="s">
        <v>472</v>
      </c>
      <c r="C1250" s="119" t="s">
        <v>93</v>
      </c>
      <c r="D1250" s="47"/>
      <c r="E1250" s="3"/>
      <c r="F1250" s="3"/>
      <c r="G1250" s="3"/>
      <c r="H1250" s="479"/>
      <c r="I1250" s="479"/>
      <c r="J1250" s="492"/>
      <c r="K1250" s="479"/>
      <c r="L1250" s="479"/>
      <c r="M1250" s="479"/>
      <c r="N1250" s="479"/>
      <c r="O1250" s="3"/>
    </row>
    <row r="1251" spans="1:15" ht="18.75">
      <c r="B1251" s="438"/>
      <c r="C1251" s="6"/>
      <c r="D1251" s="47"/>
      <c r="E1251" s="3"/>
      <c r="F1251" s="3"/>
      <c r="G1251" s="3"/>
      <c r="H1251" s="479"/>
      <c r="I1251" s="479"/>
      <c r="J1251" s="492"/>
      <c r="K1251" s="479"/>
      <c r="L1251" s="479"/>
      <c r="M1251" s="479"/>
      <c r="N1251" s="479"/>
      <c r="O1251" s="3"/>
    </row>
    <row r="1252" spans="1:15" ht="18.75">
      <c r="B1252" s="438"/>
      <c r="C1252" s="6" t="s">
        <v>94</v>
      </c>
      <c r="D1252" s="47"/>
      <c r="E1252" s="3"/>
      <c r="F1252" s="3"/>
      <c r="G1252" s="3"/>
      <c r="H1252" s="479"/>
      <c r="I1252" s="479"/>
      <c r="J1252" s="492"/>
      <c r="K1252" s="479"/>
      <c r="L1252" s="479"/>
      <c r="M1252" s="479"/>
      <c r="N1252" s="479"/>
      <c r="O1252" s="3"/>
    </row>
    <row r="1253" spans="1:15" ht="15.75" thickBot="1">
      <c r="C1253" s="128"/>
      <c r="D1253" s="47"/>
      <c r="E1253" s="3"/>
      <c r="F1253" s="3"/>
      <c r="G1253" s="3"/>
      <c r="H1253" s="479"/>
      <c r="I1253" s="479"/>
      <c r="J1253" s="492"/>
      <c r="K1253" s="479"/>
      <c r="L1253" s="479"/>
      <c r="M1253" s="479"/>
      <c r="N1253" s="479"/>
      <c r="O1253" s="3"/>
    </row>
    <row r="1254" spans="1:15" ht="15.75">
      <c r="C1254" s="440" t="s">
        <v>95</v>
      </c>
      <c r="D1254" s="47"/>
      <c r="E1254" s="3"/>
      <c r="F1254" s="3"/>
      <c r="G1254" s="555"/>
      <c r="H1254" s="3" t="s">
        <v>74</v>
      </c>
      <c r="I1254" s="3"/>
      <c r="J1254" s="3"/>
      <c r="K1254" s="498" t="s">
        <v>99</v>
      </c>
      <c r="L1254" s="499"/>
      <c r="M1254" s="500"/>
      <c r="N1254" s="501">
        <f>IF(I1260=0,0,VLOOKUP(I1260,C1267:O1326,5))</f>
        <v>0</v>
      </c>
      <c r="O1254" s="3"/>
    </row>
    <row r="1255" spans="1:15" ht="15.75">
      <c r="C1255" s="440"/>
      <c r="D1255" s="47"/>
      <c r="E1255" s="3"/>
      <c r="F1255" s="3"/>
      <c r="G1255" s="3"/>
      <c r="H1255" s="502"/>
      <c r="I1255" s="502"/>
      <c r="J1255" s="503"/>
      <c r="K1255" s="504" t="s">
        <v>100</v>
      </c>
      <c r="L1255" s="505"/>
      <c r="M1255" s="3"/>
      <c r="N1255" s="506">
        <f>IF(I1260=0,0,VLOOKUP(I1260,C1267:O1326,6))</f>
        <v>0</v>
      </c>
      <c r="O1255" s="3"/>
    </row>
    <row r="1256" spans="1:15" ht="13.5" thickBot="1">
      <c r="C1256" s="507" t="s">
        <v>96</v>
      </c>
      <c r="D1256" s="1196" t="s">
        <v>977</v>
      </c>
      <c r="E1256" s="1196"/>
      <c r="F1256" s="1196"/>
      <c r="G1256" s="1196"/>
      <c r="H1256" s="1196"/>
      <c r="I1256" s="1196"/>
      <c r="J1256" s="492"/>
      <c r="K1256" s="508" t="s">
        <v>238</v>
      </c>
      <c r="L1256" s="509"/>
      <c r="M1256" s="509"/>
      <c r="N1256" s="510">
        <f>+N1255-N1254</f>
        <v>0</v>
      </c>
      <c r="O1256" s="3"/>
    </row>
    <row r="1257" spans="1:15">
      <c r="C1257" s="511"/>
      <c r="D1257" s="1196"/>
      <c r="E1257" s="1196"/>
      <c r="F1257" s="1196"/>
      <c r="G1257" s="1196"/>
      <c r="H1257" s="1196"/>
      <c r="I1257" s="1196"/>
      <c r="J1257" s="492"/>
      <c r="K1257" s="479"/>
      <c r="L1257" s="479"/>
      <c r="M1257" s="479"/>
      <c r="N1257" s="479"/>
      <c r="O1257" s="3"/>
    </row>
    <row r="1258" spans="1:15" ht="13.5" thickBot="1">
      <c r="C1258" s="511"/>
      <c r="D1258" s="3"/>
      <c r="E1258" s="513"/>
      <c r="F1258" s="513"/>
      <c r="G1258" s="513"/>
      <c r="H1258" s="513"/>
      <c r="I1258" s="513"/>
      <c r="J1258" s="513"/>
      <c r="K1258" s="513"/>
      <c r="L1258" s="513"/>
      <c r="M1258" s="513"/>
      <c r="N1258" s="513"/>
      <c r="O1258" s="3"/>
    </row>
    <row r="1259" spans="1:15" ht="13.5" thickBot="1">
      <c r="C1259" s="514" t="s">
        <v>97</v>
      </c>
      <c r="D1259" s="515"/>
      <c r="E1259" s="515"/>
      <c r="F1259" s="515"/>
      <c r="G1259" s="515"/>
      <c r="H1259" s="515"/>
      <c r="I1259" s="516"/>
      <c r="K1259" s="3"/>
      <c r="L1259" s="3"/>
      <c r="M1259" s="3"/>
      <c r="N1259" s="3"/>
      <c r="O1259" s="3"/>
    </row>
    <row r="1260" spans="1:15" ht="15">
      <c r="C1260" s="517" t="s">
        <v>75</v>
      </c>
      <c r="D1260" s="936">
        <v>0</v>
      </c>
      <c r="E1260" s="3" t="s">
        <v>76</v>
      </c>
      <c r="G1260" s="47"/>
      <c r="H1260" s="47"/>
      <c r="I1260" s="518">
        <f>$L$26</f>
        <v>2026</v>
      </c>
      <c r="J1260" s="70"/>
      <c r="K1260" s="1186" t="s">
        <v>247</v>
      </c>
      <c r="L1260" s="1186"/>
      <c r="M1260" s="1186"/>
      <c r="N1260" s="1186"/>
      <c r="O1260" s="1186"/>
    </row>
    <row r="1261" spans="1:15">
      <c r="C1261" s="517" t="s">
        <v>78</v>
      </c>
      <c r="D1261" s="558">
        <v>2024</v>
      </c>
      <c r="E1261" s="517" t="s">
        <v>79</v>
      </c>
      <c r="F1261" s="47"/>
      <c r="H1261"/>
      <c r="I1261" s="559">
        <f>IF(G1254="",0,$F$17)</f>
        <v>0</v>
      </c>
      <c r="J1261" s="519"/>
      <c r="K1261" s="492" t="s">
        <v>247</v>
      </c>
    </row>
    <row r="1262" spans="1:15">
      <c r="C1262" s="517" t="s">
        <v>80</v>
      </c>
      <c r="D1262" s="937">
        <v>4</v>
      </c>
      <c r="E1262" s="517" t="s">
        <v>81</v>
      </c>
      <c r="F1262" s="47"/>
      <c r="H1262"/>
      <c r="I1262" s="520">
        <f>$G$70</f>
        <v>0.11191367266500543</v>
      </c>
      <c r="J1262" s="478"/>
      <c r="K1262" t="str">
        <f>"          INPUT PROJECTED ARR (WITH &amp; WITHOUT INCENTIVES) FROM EACH PRIOR YEAR"</f>
        <v xml:space="preserve">          INPUT PROJECTED ARR (WITH &amp; WITHOUT INCENTIVES) FROM EACH PRIOR YEAR</v>
      </c>
    </row>
    <row r="1263" spans="1:15">
      <c r="C1263" s="517" t="s">
        <v>82</v>
      </c>
      <c r="D1263" s="521">
        <f>$G$79</f>
        <v>36</v>
      </c>
      <c r="E1263" s="517" t="s">
        <v>83</v>
      </c>
      <c r="F1263" s="47"/>
      <c r="H1263"/>
      <c r="I1263" s="520">
        <f>IF(G1254="",I1262,$G$69)</f>
        <v>0.11191367266500543</v>
      </c>
      <c r="J1263" s="478"/>
      <c r="K1263" t="s">
        <v>160</v>
      </c>
    </row>
    <row r="1264" spans="1:15" ht="13.5" thickBot="1">
      <c r="C1264" s="517" t="s">
        <v>84</v>
      </c>
      <c r="D1264" s="556" t="s">
        <v>810</v>
      </c>
      <c r="E1264" s="522" t="s">
        <v>85</v>
      </c>
      <c r="F1264" s="523"/>
      <c r="G1264" s="524"/>
      <c r="H1264" s="524"/>
      <c r="I1264" s="510">
        <f>IF(D1260=0,0,D1260/D1263)</f>
        <v>0</v>
      </c>
      <c r="J1264" s="492"/>
      <c r="K1264" s="492" t="s">
        <v>166</v>
      </c>
      <c r="L1264" s="492"/>
      <c r="M1264" s="492"/>
      <c r="N1264" s="492"/>
      <c r="O1264" s="3"/>
    </row>
    <row r="1265" spans="2:15" ht="51">
      <c r="B1265" s="439"/>
      <c r="C1265" s="525" t="s">
        <v>75</v>
      </c>
      <c r="D1265" s="526" t="s">
        <v>86</v>
      </c>
      <c r="E1265" s="527" t="s">
        <v>87</v>
      </c>
      <c r="F1265" s="526" t="s">
        <v>88</v>
      </c>
      <c r="G1265" s="527" t="s">
        <v>159</v>
      </c>
      <c r="H1265" s="528" t="s">
        <v>159</v>
      </c>
      <c r="I1265" s="525" t="s">
        <v>98</v>
      </c>
      <c r="J1265" s="529"/>
      <c r="K1265" s="527" t="s">
        <v>168</v>
      </c>
      <c r="L1265" s="530"/>
      <c r="M1265" s="527" t="s">
        <v>168</v>
      </c>
      <c r="N1265" s="530"/>
      <c r="O1265" s="530"/>
    </row>
    <row r="1266" spans="2:15" ht="13.5" thickBot="1">
      <c r="C1266" s="531" t="s">
        <v>475</v>
      </c>
      <c r="D1266" s="532" t="s">
        <v>476</v>
      </c>
      <c r="E1266" s="531" t="s">
        <v>369</v>
      </c>
      <c r="F1266" s="532" t="s">
        <v>476</v>
      </c>
      <c r="G1266" s="533" t="s">
        <v>101</v>
      </c>
      <c r="H1266" s="534" t="s">
        <v>103</v>
      </c>
      <c r="I1266" s="531" t="s">
        <v>15</v>
      </c>
      <c r="J1266" s="535"/>
      <c r="K1266" s="533" t="s">
        <v>90</v>
      </c>
      <c r="L1266" s="536"/>
      <c r="M1266" s="533" t="s">
        <v>103</v>
      </c>
      <c r="N1266" s="536"/>
      <c r="O1266" s="536"/>
    </row>
    <row r="1267" spans="2:15">
      <c r="C1267" s="537">
        <f>IF(D1261= "","-",D1261)</f>
        <v>2024</v>
      </c>
      <c r="D1267" s="495">
        <f>+D1260</f>
        <v>0</v>
      </c>
      <c r="E1267" s="538">
        <f>+I1264/12*(12-D1262)</f>
        <v>0</v>
      </c>
      <c r="F1267" s="495">
        <f>+D1267-E1267</f>
        <v>0</v>
      </c>
      <c r="G1267" s="705">
        <f>+$I$96*((D1267+F1267)/2)+E1267</f>
        <v>0</v>
      </c>
      <c r="H1267" s="706">
        <f>$I$97*((D1267+F1267)/2)+E1267</f>
        <v>0</v>
      </c>
      <c r="I1267" s="541">
        <f>+H1267-G1267</f>
        <v>0</v>
      </c>
      <c r="J1267" s="541"/>
      <c r="K1267" s="560">
        <v>2827087.0151462927</v>
      </c>
      <c r="L1267" s="542"/>
      <c r="M1267" s="560">
        <v>2827087.0151462927</v>
      </c>
      <c r="N1267" s="542"/>
      <c r="O1267" s="542"/>
    </row>
    <row r="1268" spans="2:15">
      <c r="C1268" s="537">
        <f>IF(D1261="","-",+C1267+1)</f>
        <v>2025</v>
      </c>
      <c r="D1268" s="495">
        <f t="shared" ref="D1268:D1272" si="78">F1267</f>
        <v>0</v>
      </c>
      <c r="E1268" s="538">
        <f>IF(D1268&gt;$I$1264,$I$1264,D1268)</f>
        <v>0</v>
      </c>
      <c r="F1268" s="495">
        <f t="shared" ref="F1268:F1272" si="79">+D1268-E1268</f>
        <v>0</v>
      </c>
      <c r="G1268" s="543">
        <f t="shared" ref="G1268:G1272" si="80">+$I$96*((D1268+F1268)/2)+E1268</f>
        <v>0</v>
      </c>
      <c r="H1268" s="544">
        <f t="shared" ref="H1268:H1272" si="81">$I$97*((D1268+F1268)/2)+E1268</f>
        <v>0</v>
      </c>
      <c r="I1268" s="541">
        <f t="shared" ref="I1268:I1272" si="82">+H1268-G1268</f>
        <v>0</v>
      </c>
      <c r="J1268" s="541"/>
      <c r="K1268" s="561"/>
      <c r="L1268" s="545"/>
      <c r="M1268" s="561"/>
      <c r="N1268" s="545"/>
      <c r="O1268" s="545"/>
    </row>
    <row r="1269" spans="2:15">
      <c r="C1269" s="935">
        <f>IF(D1261="","-",+C1268+1)</f>
        <v>2026</v>
      </c>
      <c r="D1269" s="495">
        <f t="shared" si="78"/>
        <v>0</v>
      </c>
      <c r="E1269" s="538">
        <f t="shared" ref="E1269:E1326" si="83">IF(D1269&gt;$I$1264,$I$1264,D1269)</f>
        <v>0</v>
      </c>
      <c r="F1269" s="495">
        <f t="shared" si="79"/>
        <v>0</v>
      </c>
      <c r="G1269" s="543">
        <f t="shared" si="80"/>
        <v>0</v>
      </c>
      <c r="H1269" s="544">
        <f t="shared" si="81"/>
        <v>0</v>
      </c>
      <c r="I1269" s="541">
        <f t="shared" si="82"/>
        <v>0</v>
      </c>
      <c r="J1269" s="541"/>
      <c r="K1269" s="561"/>
      <c r="L1269" s="545"/>
      <c r="M1269" s="561"/>
      <c r="N1269" s="545"/>
      <c r="O1269" s="545"/>
    </row>
    <row r="1270" spans="2:15">
      <c r="C1270" s="537">
        <f>IF(D1261="","-",+C1269+1)</f>
        <v>2027</v>
      </c>
      <c r="D1270" s="495">
        <f t="shared" si="78"/>
        <v>0</v>
      </c>
      <c r="E1270" s="538">
        <f t="shared" si="83"/>
        <v>0</v>
      </c>
      <c r="F1270" s="495">
        <f t="shared" si="79"/>
        <v>0</v>
      </c>
      <c r="G1270" s="543">
        <f t="shared" si="80"/>
        <v>0</v>
      </c>
      <c r="H1270" s="544">
        <f t="shared" si="81"/>
        <v>0</v>
      </c>
      <c r="I1270" s="541">
        <f t="shared" si="82"/>
        <v>0</v>
      </c>
      <c r="J1270" s="541"/>
      <c r="K1270" s="561"/>
      <c r="L1270" s="545"/>
      <c r="M1270" s="561"/>
      <c r="N1270" s="545"/>
      <c r="O1270" s="545"/>
    </row>
    <row r="1271" spans="2:15">
      <c r="C1271" s="943">
        <f>IF(D1261="","-",+C1270+1)</f>
        <v>2028</v>
      </c>
      <c r="D1271" s="495">
        <f t="shared" si="78"/>
        <v>0</v>
      </c>
      <c r="E1271" s="538">
        <f t="shared" si="83"/>
        <v>0</v>
      </c>
      <c r="F1271" s="495">
        <f t="shared" si="79"/>
        <v>0</v>
      </c>
      <c r="G1271" s="543">
        <f t="shared" si="80"/>
        <v>0</v>
      </c>
      <c r="H1271" s="544">
        <f t="shared" si="81"/>
        <v>0</v>
      </c>
      <c r="I1271" s="541">
        <f t="shared" si="82"/>
        <v>0</v>
      </c>
      <c r="J1271" s="541"/>
      <c r="K1271" s="561"/>
      <c r="L1271" s="545"/>
      <c r="M1271" s="561"/>
      <c r="N1271" s="545"/>
      <c r="O1271" s="545"/>
    </row>
    <row r="1272" spans="2:15">
      <c r="C1272" s="943">
        <f>IF(D1261="","-",+C1271+1)</f>
        <v>2029</v>
      </c>
      <c r="D1272" s="495">
        <f t="shared" si="78"/>
        <v>0</v>
      </c>
      <c r="E1272" s="538">
        <f t="shared" si="83"/>
        <v>0</v>
      </c>
      <c r="F1272" s="495">
        <f t="shared" si="79"/>
        <v>0</v>
      </c>
      <c r="G1272" s="543">
        <f t="shared" si="80"/>
        <v>0</v>
      </c>
      <c r="H1272" s="544">
        <f t="shared" si="81"/>
        <v>0</v>
      </c>
      <c r="I1272" s="541">
        <f t="shared" si="82"/>
        <v>0</v>
      </c>
      <c r="J1272" s="541"/>
      <c r="K1272" s="561"/>
      <c r="L1272" s="545"/>
      <c r="M1272" s="561"/>
      <c r="N1272" s="545"/>
      <c r="O1272" s="545"/>
    </row>
    <row r="1273" spans="2:15">
      <c r="C1273" s="943">
        <f>IF(D1261="","-",+C1272+1)</f>
        <v>2030</v>
      </c>
      <c r="D1273" s="495">
        <f t="shared" ref="D1273:D1278" si="84">F1272</f>
        <v>0</v>
      </c>
      <c r="E1273" s="538">
        <f t="shared" si="83"/>
        <v>0</v>
      </c>
      <c r="F1273" s="495">
        <f t="shared" ref="F1273:F1278" si="85">+D1273-E1273</f>
        <v>0</v>
      </c>
      <c r="G1273" s="543">
        <f t="shared" ref="G1273:G1278" si="86">+$I$96*((D1273+F1273)/2)+E1273</f>
        <v>0</v>
      </c>
      <c r="H1273" s="544">
        <f t="shared" ref="H1273:H1278" si="87">$I$97*((D1273+F1273)/2)+E1273</f>
        <v>0</v>
      </c>
      <c r="I1273" s="541">
        <f t="shared" ref="I1273:I1278" si="88">+H1273-G1273</f>
        <v>0</v>
      </c>
      <c r="J1273" s="541"/>
      <c r="K1273" s="561"/>
      <c r="L1273" s="545"/>
      <c r="M1273" s="561"/>
      <c r="N1273" s="545"/>
      <c r="O1273" s="545"/>
    </row>
    <row r="1274" spans="2:15">
      <c r="C1274" s="537">
        <f>IF(D1261="","-",+C1273+1)</f>
        <v>2031</v>
      </c>
      <c r="D1274" s="495">
        <f t="shared" si="84"/>
        <v>0</v>
      </c>
      <c r="E1274" s="538">
        <f t="shared" si="83"/>
        <v>0</v>
      </c>
      <c r="F1274" s="495">
        <f t="shared" si="85"/>
        <v>0</v>
      </c>
      <c r="G1274" s="543">
        <f t="shared" si="86"/>
        <v>0</v>
      </c>
      <c r="H1274" s="544">
        <f t="shared" si="87"/>
        <v>0</v>
      </c>
      <c r="I1274" s="541">
        <f t="shared" si="88"/>
        <v>0</v>
      </c>
      <c r="J1274" s="541"/>
      <c r="K1274" s="561"/>
      <c r="L1274" s="545"/>
      <c r="M1274" s="561"/>
      <c r="N1274" s="545"/>
      <c r="O1274" s="545"/>
    </row>
    <row r="1275" spans="2:15">
      <c r="C1275" s="537">
        <f>IF(D1261="","-",+C1274+1)</f>
        <v>2032</v>
      </c>
      <c r="D1275" s="495">
        <f t="shared" si="84"/>
        <v>0</v>
      </c>
      <c r="E1275" s="538">
        <f t="shared" si="83"/>
        <v>0</v>
      </c>
      <c r="F1275" s="495">
        <f t="shared" si="85"/>
        <v>0</v>
      </c>
      <c r="G1275" s="543">
        <f t="shared" si="86"/>
        <v>0</v>
      </c>
      <c r="H1275" s="544">
        <f t="shared" si="87"/>
        <v>0</v>
      </c>
      <c r="I1275" s="541">
        <f t="shared" si="88"/>
        <v>0</v>
      </c>
      <c r="J1275" s="541"/>
      <c r="K1275" s="561"/>
      <c r="L1275" s="545"/>
      <c r="M1275" s="561"/>
      <c r="N1275" s="545"/>
      <c r="O1275" s="545"/>
    </row>
    <row r="1276" spans="2:15">
      <c r="C1276" s="537">
        <f>IF(D1261="","-",+C1275+1)</f>
        <v>2033</v>
      </c>
      <c r="D1276" s="495">
        <f t="shared" si="84"/>
        <v>0</v>
      </c>
      <c r="E1276" s="538">
        <f t="shared" si="83"/>
        <v>0</v>
      </c>
      <c r="F1276" s="495">
        <f t="shared" si="85"/>
        <v>0</v>
      </c>
      <c r="G1276" s="543">
        <f t="shared" si="86"/>
        <v>0</v>
      </c>
      <c r="H1276" s="544">
        <f t="shared" si="87"/>
        <v>0</v>
      </c>
      <c r="I1276" s="541">
        <f t="shared" si="88"/>
        <v>0</v>
      </c>
      <c r="J1276" s="541"/>
      <c r="K1276" s="561"/>
      <c r="L1276" s="545"/>
      <c r="M1276" s="561"/>
      <c r="N1276" s="545"/>
      <c r="O1276" s="545"/>
    </row>
    <row r="1277" spans="2:15">
      <c r="C1277" s="537">
        <f>IF(D1261="","-",+C1276+1)</f>
        <v>2034</v>
      </c>
      <c r="D1277" s="495">
        <f t="shared" si="84"/>
        <v>0</v>
      </c>
      <c r="E1277" s="538">
        <f t="shared" si="83"/>
        <v>0</v>
      </c>
      <c r="F1277" s="495">
        <f t="shared" si="85"/>
        <v>0</v>
      </c>
      <c r="G1277" s="543">
        <f t="shared" si="86"/>
        <v>0</v>
      </c>
      <c r="H1277" s="544">
        <f t="shared" si="87"/>
        <v>0</v>
      </c>
      <c r="I1277" s="541">
        <f t="shared" si="88"/>
        <v>0</v>
      </c>
      <c r="J1277" s="541"/>
      <c r="K1277" s="561"/>
      <c r="L1277" s="545"/>
      <c r="M1277" s="561"/>
      <c r="N1277" s="545"/>
      <c r="O1277" s="545"/>
    </row>
    <row r="1278" spans="2:15">
      <c r="C1278" s="537">
        <f>IF(D1261="","-",+C1277+1)</f>
        <v>2035</v>
      </c>
      <c r="D1278" s="495">
        <f t="shared" si="84"/>
        <v>0</v>
      </c>
      <c r="E1278" s="538">
        <f t="shared" si="83"/>
        <v>0</v>
      </c>
      <c r="F1278" s="495">
        <f t="shared" si="85"/>
        <v>0</v>
      </c>
      <c r="G1278" s="543">
        <f t="shared" si="86"/>
        <v>0</v>
      </c>
      <c r="H1278" s="544">
        <f t="shared" si="87"/>
        <v>0</v>
      </c>
      <c r="I1278" s="541">
        <f t="shared" si="88"/>
        <v>0</v>
      </c>
      <c r="J1278" s="541"/>
      <c r="K1278" s="561"/>
      <c r="L1278" s="545"/>
      <c r="M1278" s="561"/>
      <c r="N1278" s="545"/>
      <c r="O1278" s="545"/>
    </row>
    <row r="1279" spans="2:15">
      <c r="C1279" s="537">
        <f>IF(D1261="","-",+C1278+1)</f>
        <v>2036</v>
      </c>
      <c r="D1279" s="495">
        <f t="shared" ref="D1279:D1284" si="89">F1278</f>
        <v>0</v>
      </c>
      <c r="E1279" s="538">
        <f t="shared" si="83"/>
        <v>0</v>
      </c>
      <c r="F1279" s="495">
        <f t="shared" ref="F1279:F1284" si="90">+D1279-E1279</f>
        <v>0</v>
      </c>
      <c r="G1279" s="543">
        <f t="shared" ref="G1279:G1284" si="91">+$I$96*((D1279+F1279)/2)+E1279</f>
        <v>0</v>
      </c>
      <c r="H1279" s="544">
        <f t="shared" ref="H1279:H1284" si="92">$I$97*((D1279+F1279)/2)+E1279</f>
        <v>0</v>
      </c>
      <c r="I1279" s="541">
        <f t="shared" ref="I1279:I1284" si="93">+H1279-G1279</f>
        <v>0</v>
      </c>
      <c r="J1279" s="541"/>
      <c r="K1279" s="561"/>
      <c r="L1279" s="545"/>
      <c r="M1279" s="561"/>
      <c r="N1279" s="546"/>
      <c r="O1279" s="545"/>
    </row>
    <row r="1280" spans="2:15">
      <c r="C1280" s="537">
        <f>IF(D1261="","-",+C1279+1)</f>
        <v>2037</v>
      </c>
      <c r="D1280" s="495">
        <f t="shared" si="89"/>
        <v>0</v>
      </c>
      <c r="E1280" s="538">
        <f t="shared" si="83"/>
        <v>0</v>
      </c>
      <c r="F1280" s="495">
        <f t="shared" si="90"/>
        <v>0</v>
      </c>
      <c r="G1280" s="543">
        <f t="shared" si="91"/>
        <v>0</v>
      </c>
      <c r="H1280" s="544">
        <f t="shared" si="92"/>
        <v>0</v>
      </c>
      <c r="I1280" s="541">
        <f t="shared" si="93"/>
        <v>0</v>
      </c>
      <c r="J1280" s="541"/>
      <c r="K1280" s="561"/>
      <c r="L1280" s="545"/>
      <c r="M1280" s="561"/>
      <c r="N1280" s="545"/>
      <c r="O1280" s="545"/>
    </row>
    <row r="1281" spans="3:15">
      <c r="C1281" s="537">
        <f>IF(D1261="","-",+C1280+1)</f>
        <v>2038</v>
      </c>
      <c r="D1281" s="495">
        <f t="shared" si="89"/>
        <v>0</v>
      </c>
      <c r="E1281" s="538">
        <f t="shared" si="83"/>
        <v>0</v>
      </c>
      <c r="F1281" s="495">
        <f t="shared" si="90"/>
        <v>0</v>
      </c>
      <c r="G1281" s="543">
        <f t="shared" si="91"/>
        <v>0</v>
      </c>
      <c r="H1281" s="544">
        <f t="shared" si="92"/>
        <v>0</v>
      </c>
      <c r="I1281" s="541">
        <f t="shared" si="93"/>
        <v>0</v>
      </c>
      <c r="J1281" s="541"/>
      <c r="K1281" s="561"/>
      <c r="L1281" s="545"/>
      <c r="M1281" s="561"/>
      <c r="N1281" s="545"/>
      <c r="O1281" s="545"/>
    </row>
    <row r="1282" spans="3:15">
      <c r="C1282" s="537">
        <f>IF(D1261="","-",+C1281+1)</f>
        <v>2039</v>
      </c>
      <c r="D1282" s="495">
        <f t="shared" si="89"/>
        <v>0</v>
      </c>
      <c r="E1282" s="538">
        <f t="shared" si="83"/>
        <v>0</v>
      </c>
      <c r="F1282" s="495">
        <f t="shared" si="90"/>
        <v>0</v>
      </c>
      <c r="G1282" s="543">
        <f t="shared" si="91"/>
        <v>0</v>
      </c>
      <c r="H1282" s="544">
        <f t="shared" si="92"/>
        <v>0</v>
      </c>
      <c r="I1282" s="541">
        <f t="shared" si="93"/>
        <v>0</v>
      </c>
      <c r="J1282" s="541"/>
      <c r="K1282" s="561"/>
      <c r="L1282" s="545"/>
      <c r="M1282" s="561"/>
      <c r="N1282" s="545"/>
      <c r="O1282" s="545"/>
    </row>
    <row r="1283" spans="3:15">
      <c r="C1283" s="537">
        <f>IF(D1261="","-",+C1282+1)</f>
        <v>2040</v>
      </c>
      <c r="D1283" s="495">
        <f t="shared" si="89"/>
        <v>0</v>
      </c>
      <c r="E1283" s="538">
        <f t="shared" si="83"/>
        <v>0</v>
      </c>
      <c r="F1283" s="495">
        <f t="shared" si="90"/>
        <v>0</v>
      </c>
      <c r="G1283" s="543">
        <f t="shared" si="91"/>
        <v>0</v>
      </c>
      <c r="H1283" s="544">
        <f t="shared" si="92"/>
        <v>0</v>
      </c>
      <c r="I1283" s="541">
        <f t="shared" si="93"/>
        <v>0</v>
      </c>
      <c r="J1283" s="541"/>
      <c r="K1283" s="561"/>
      <c r="L1283" s="545"/>
      <c r="M1283" s="561"/>
      <c r="N1283" s="545"/>
      <c r="O1283" s="545"/>
    </row>
    <row r="1284" spans="3:15">
      <c r="C1284" s="537">
        <f>IF(D1261="","-",+C1283+1)</f>
        <v>2041</v>
      </c>
      <c r="D1284" s="495">
        <f t="shared" si="89"/>
        <v>0</v>
      </c>
      <c r="E1284" s="538">
        <f t="shared" si="83"/>
        <v>0</v>
      </c>
      <c r="F1284" s="495">
        <f t="shared" si="90"/>
        <v>0</v>
      </c>
      <c r="G1284" s="543">
        <f t="shared" si="91"/>
        <v>0</v>
      </c>
      <c r="H1284" s="544">
        <f t="shared" si="92"/>
        <v>0</v>
      </c>
      <c r="I1284" s="541">
        <f t="shared" si="93"/>
        <v>0</v>
      </c>
      <c r="J1284" s="541"/>
      <c r="K1284" s="561"/>
      <c r="L1284" s="545"/>
      <c r="M1284" s="561"/>
      <c r="N1284" s="545"/>
      <c r="O1284" s="545"/>
    </row>
    <row r="1285" spans="3:15">
      <c r="C1285" s="537">
        <f>IF(D1261="","-",+C1284+1)</f>
        <v>2042</v>
      </c>
      <c r="D1285" s="495">
        <f t="shared" ref="D1285:D1290" si="94">F1284</f>
        <v>0</v>
      </c>
      <c r="E1285" s="538">
        <f t="shared" si="83"/>
        <v>0</v>
      </c>
      <c r="F1285" s="495">
        <f t="shared" ref="F1285:F1290" si="95">+D1285-E1285</f>
        <v>0</v>
      </c>
      <c r="G1285" s="543">
        <f t="shared" ref="G1285:G1290" si="96">+$I$96*((D1285+F1285)/2)+E1285</f>
        <v>0</v>
      </c>
      <c r="H1285" s="544">
        <f t="shared" ref="H1285:H1290" si="97">$I$97*((D1285+F1285)/2)+E1285</f>
        <v>0</v>
      </c>
      <c r="I1285" s="541">
        <f t="shared" ref="I1285:I1290" si="98">+H1285-G1285</f>
        <v>0</v>
      </c>
      <c r="J1285" s="541"/>
      <c r="K1285" s="561"/>
      <c r="L1285" s="545"/>
      <c r="M1285" s="561"/>
      <c r="N1285" s="545"/>
      <c r="O1285" s="545"/>
    </row>
    <row r="1286" spans="3:15">
      <c r="C1286" s="537">
        <f>IF(D1261="","-",+C1285+1)</f>
        <v>2043</v>
      </c>
      <c r="D1286" s="495">
        <f t="shared" si="94"/>
        <v>0</v>
      </c>
      <c r="E1286" s="538">
        <f t="shared" si="83"/>
        <v>0</v>
      </c>
      <c r="F1286" s="495">
        <f t="shared" si="95"/>
        <v>0</v>
      </c>
      <c r="G1286" s="543">
        <f t="shared" si="96"/>
        <v>0</v>
      </c>
      <c r="H1286" s="544">
        <f t="shared" si="97"/>
        <v>0</v>
      </c>
      <c r="I1286" s="541">
        <f t="shared" si="98"/>
        <v>0</v>
      </c>
      <c r="J1286" s="541"/>
      <c r="K1286" s="561"/>
      <c r="L1286" s="545"/>
      <c r="M1286" s="561"/>
      <c r="N1286" s="545"/>
      <c r="O1286" s="545"/>
    </row>
    <row r="1287" spans="3:15">
      <c r="C1287" s="537">
        <f>IF(D1261="","-",+C1286+1)</f>
        <v>2044</v>
      </c>
      <c r="D1287" s="495">
        <f t="shared" si="94"/>
        <v>0</v>
      </c>
      <c r="E1287" s="538">
        <f t="shared" si="83"/>
        <v>0</v>
      </c>
      <c r="F1287" s="495">
        <f t="shared" si="95"/>
        <v>0</v>
      </c>
      <c r="G1287" s="543">
        <f t="shared" si="96"/>
        <v>0</v>
      </c>
      <c r="H1287" s="544">
        <f t="shared" si="97"/>
        <v>0</v>
      </c>
      <c r="I1287" s="541">
        <f t="shared" si="98"/>
        <v>0</v>
      </c>
      <c r="J1287" s="541"/>
      <c r="K1287" s="561"/>
      <c r="L1287" s="545"/>
      <c r="M1287" s="561"/>
      <c r="N1287" s="545"/>
      <c r="O1287" s="545"/>
    </row>
    <row r="1288" spans="3:15">
      <c r="C1288" s="537">
        <f>IF(D1261="","-",+C1287+1)</f>
        <v>2045</v>
      </c>
      <c r="D1288" s="495">
        <f t="shared" si="94"/>
        <v>0</v>
      </c>
      <c r="E1288" s="538">
        <f t="shared" si="83"/>
        <v>0</v>
      </c>
      <c r="F1288" s="495">
        <f t="shared" si="95"/>
        <v>0</v>
      </c>
      <c r="G1288" s="543">
        <f t="shared" si="96"/>
        <v>0</v>
      </c>
      <c r="H1288" s="544">
        <f t="shared" si="97"/>
        <v>0</v>
      </c>
      <c r="I1288" s="541">
        <f t="shared" si="98"/>
        <v>0</v>
      </c>
      <c r="J1288" s="541"/>
      <c r="K1288" s="561"/>
      <c r="L1288" s="545"/>
      <c r="M1288" s="561"/>
      <c r="N1288" s="545"/>
      <c r="O1288" s="545"/>
    </row>
    <row r="1289" spans="3:15">
      <c r="C1289" s="537">
        <f>IF(D1261="","-",+C1288+1)</f>
        <v>2046</v>
      </c>
      <c r="D1289" s="495">
        <f t="shared" si="94"/>
        <v>0</v>
      </c>
      <c r="E1289" s="538">
        <f t="shared" si="83"/>
        <v>0</v>
      </c>
      <c r="F1289" s="495">
        <f t="shared" si="95"/>
        <v>0</v>
      </c>
      <c r="G1289" s="543">
        <f t="shared" si="96"/>
        <v>0</v>
      </c>
      <c r="H1289" s="544">
        <f t="shared" si="97"/>
        <v>0</v>
      </c>
      <c r="I1289" s="541">
        <f t="shared" si="98"/>
        <v>0</v>
      </c>
      <c r="J1289" s="541"/>
      <c r="K1289" s="561"/>
      <c r="L1289" s="545"/>
      <c r="M1289" s="561"/>
      <c r="N1289" s="545"/>
      <c r="O1289" s="545"/>
    </row>
    <row r="1290" spans="3:15">
      <c r="C1290" s="537">
        <f>IF(D1261="","-",+C1289+1)</f>
        <v>2047</v>
      </c>
      <c r="D1290" s="495">
        <f t="shared" si="94"/>
        <v>0</v>
      </c>
      <c r="E1290" s="538">
        <f t="shared" si="83"/>
        <v>0</v>
      </c>
      <c r="F1290" s="495">
        <f t="shared" si="95"/>
        <v>0</v>
      </c>
      <c r="G1290" s="543">
        <f t="shared" si="96"/>
        <v>0</v>
      </c>
      <c r="H1290" s="544">
        <f t="shared" si="97"/>
        <v>0</v>
      </c>
      <c r="I1290" s="541">
        <f t="shared" si="98"/>
        <v>0</v>
      </c>
      <c r="J1290" s="541"/>
      <c r="K1290" s="561"/>
      <c r="L1290" s="545"/>
      <c r="M1290" s="561"/>
      <c r="N1290" s="545"/>
      <c r="O1290" s="545"/>
    </row>
    <row r="1291" spans="3:15">
      <c r="C1291" s="537">
        <f>IF(D1261="","-",+C1290+1)</f>
        <v>2048</v>
      </c>
      <c r="D1291" s="495">
        <f t="shared" ref="D1291:D1296" si="99">F1290</f>
        <v>0</v>
      </c>
      <c r="E1291" s="538">
        <f t="shared" si="83"/>
        <v>0</v>
      </c>
      <c r="F1291" s="495">
        <f t="shared" ref="F1291:F1296" si="100">+D1291-E1291</f>
        <v>0</v>
      </c>
      <c r="G1291" s="543">
        <f t="shared" ref="G1291:G1296" si="101">+$I$96*((D1291+F1291)/2)+E1291</f>
        <v>0</v>
      </c>
      <c r="H1291" s="544">
        <f t="shared" ref="H1291:H1296" si="102">$I$97*((D1291+F1291)/2)+E1291</f>
        <v>0</v>
      </c>
      <c r="I1291" s="541">
        <f t="shared" ref="I1291:I1296" si="103">+H1291-G1291</f>
        <v>0</v>
      </c>
      <c r="J1291" s="541"/>
      <c r="K1291" s="561"/>
      <c r="L1291" s="545"/>
      <c r="M1291" s="561"/>
      <c r="N1291" s="545"/>
      <c r="O1291" s="545"/>
    </row>
    <row r="1292" spans="3:15">
      <c r="C1292" s="537">
        <f>IF(D1261="","-",+C1291+1)</f>
        <v>2049</v>
      </c>
      <c r="D1292" s="495">
        <f t="shared" si="99"/>
        <v>0</v>
      </c>
      <c r="E1292" s="538">
        <f t="shared" si="83"/>
        <v>0</v>
      </c>
      <c r="F1292" s="495">
        <f t="shared" si="100"/>
        <v>0</v>
      </c>
      <c r="G1292" s="543">
        <f t="shared" si="101"/>
        <v>0</v>
      </c>
      <c r="H1292" s="544">
        <f t="shared" si="102"/>
        <v>0</v>
      </c>
      <c r="I1292" s="541">
        <f t="shared" si="103"/>
        <v>0</v>
      </c>
      <c r="J1292" s="541"/>
      <c r="K1292" s="561"/>
      <c r="L1292" s="545"/>
      <c r="M1292" s="561"/>
      <c r="N1292" s="545"/>
      <c r="O1292" s="545"/>
    </row>
    <row r="1293" spans="3:15">
      <c r="C1293" s="537">
        <f>IF(D1261="","-",+C1292+1)</f>
        <v>2050</v>
      </c>
      <c r="D1293" s="495">
        <f t="shared" si="99"/>
        <v>0</v>
      </c>
      <c r="E1293" s="538">
        <f t="shared" si="83"/>
        <v>0</v>
      </c>
      <c r="F1293" s="495">
        <f t="shared" si="100"/>
        <v>0</v>
      </c>
      <c r="G1293" s="543">
        <f t="shared" si="101"/>
        <v>0</v>
      </c>
      <c r="H1293" s="544">
        <f t="shared" si="102"/>
        <v>0</v>
      </c>
      <c r="I1293" s="541">
        <f t="shared" si="103"/>
        <v>0</v>
      </c>
      <c r="J1293" s="541"/>
      <c r="K1293" s="561"/>
      <c r="L1293" s="545"/>
      <c r="M1293" s="561"/>
      <c r="N1293" s="545"/>
      <c r="O1293" s="545"/>
    </row>
    <row r="1294" spans="3:15">
      <c r="C1294" s="537">
        <f>IF(D1261="","-",+C1293+1)</f>
        <v>2051</v>
      </c>
      <c r="D1294" s="495">
        <f t="shared" si="99"/>
        <v>0</v>
      </c>
      <c r="E1294" s="538">
        <f t="shared" si="83"/>
        <v>0</v>
      </c>
      <c r="F1294" s="495">
        <f t="shared" si="100"/>
        <v>0</v>
      </c>
      <c r="G1294" s="543">
        <f t="shared" si="101"/>
        <v>0</v>
      </c>
      <c r="H1294" s="544">
        <f t="shared" si="102"/>
        <v>0</v>
      </c>
      <c r="I1294" s="541">
        <f t="shared" si="103"/>
        <v>0</v>
      </c>
      <c r="J1294" s="541"/>
      <c r="K1294" s="561"/>
      <c r="L1294" s="545"/>
      <c r="M1294" s="561"/>
      <c r="N1294" s="545"/>
      <c r="O1294" s="545"/>
    </row>
    <row r="1295" spans="3:15">
      <c r="C1295" s="537">
        <f>IF(D1261="","-",+C1294+1)</f>
        <v>2052</v>
      </c>
      <c r="D1295" s="495">
        <f t="shared" si="99"/>
        <v>0</v>
      </c>
      <c r="E1295" s="538">
        <f t="shared" si="83"/>
        <v>0</v>
      </c>
      <c r="F1295" s="495">
        <f t="shared" si="100"/>
        <v>0</v>
      </c>
      <c r="G1295" s="539">
        <f t="shared" si="101"/>
        <v>0</v>
      </c>
      <c r="H1295" s="544">
        <f t="shared" si="102"/>
        <v>0</v>
      </c>
      <c r="I1295" s="541">
        <f t="shared" si="103"/>
        <v>0</v>
      </c>
      <c r="J1295" s="541"/>
      <c r="K1295" s="561"/>
      <c r="L1295" s="545"/>
      <c r="M1295" s="561"/>
      <c r="N1295" s="545"/>
      <c r="O1295" s="545"/>
    </row>
    <row r="1296" spans="3:15">
      <c r="C1296" s="537">
        <f>IF(D1261="","-",+C1295+1)</f>
        <v>2053</v>
      </c>
      <c r="D1296" s="495">
        <f t="shared" si="99"/>
        <v>0</v>
      </c>
      <c r="E1296" s="538">
        <f t="shared" si="83"/>
        <v>0</v>
      </c>
      <c r="F1296" s="495">
        <f t="shared" si="100"/>
        <v>0</v>
      </c>
      <c r="G1296" s="543">
        <f t="shared" si="101"/>
        <v>0</v>
      </c>
      <c r="H1296" s="544">
        <f t="shared" si="102"/>
        <v>0</v>
      </c>
      <c r="I1296" s="541">
        <f t="shared" si="103"/>
        <v>0</v>
      </c>
      <c r="J1296" s="541"/>
      <c r="K1296" s="561"/>
      <c r="L1296" s="545"/>
      <c r="M1296" s="561"/>
      <c r="N1296" s="545"/>
      <c r="O1296" s="545"/>
    </row>
    <row r="1297" spans="3:15">
      <c r="C1297" s="537">
        <f>IF(D1261="","-",+C1296+1)</f>
        <v>2054</v>
      </c>
      <c r="D1297" s="495">
        <f t="shared" ref="D1297:D1326" si="104">F1296</f>
        <v>0</v>
      </c>
      <c r="E1297" s="538">
        <f t="shared" si="83"/>
        <v>0</v>
      </c>
      <c r="F1297" s="495">
        <f t="shared" ref="F1297:F1326" si="105">+D1297-E1297</f>
        <v>0</v>
      </c>
      <c r="G1297" s="543">
        <f t="shared" ref="G1297:G1326" si="106">+$I$96*((D1297+F1297)/2)+E1297</f>
        <v>0</v>
      </c>
      <c r="H1297" s="544">
        <f t="shared" ref="H1297:H1326" si="107">$I$97*((D1297+F1297)/2)+E1297</f>
        <v>0</v>
      </c>
      <c r="I1297" s="541">
        <f t="shared" ref="I1297:I1326" si="108">+H1297-G1297</f>
        <v>0</v>
      </c>
      <c r="J1297" s="541"/>
      <c r="K1297" s="561"/>
      <c r="L1297" s="545"/>
      <c r="M1297" s="561"/>
      <c r="N1297" s="545"/>
      <c r="O1297" s="545"/>
    </row>
    <row r="1298" spans="3:15">
      <c r="C1298" s="537">
        <f>IF(D1261="","-",+C1297+1)</f>
        <v>2055</v>
      </c>
      <c r="D1298" s="495">
        <f t="shared" si="104"/>
        <v>0</v>
      </c>
      <c r="E1298" s="538">
        <f t="shared" si="83"/>
        <v>0</v>
      </c>
      <c r="F1298" s="495">
        <f t="shared" si="105"/>
        <v>0</v>
      </c>
      <c r="G1298" s="543">
        <f t="shared" si="106"/>
        <v>0</v>
      </c>
      <c r="H1298" s="544">
        <f t="shared" si="107"/>
        <v>0</v>
      </c>
      <c r="I1298" s="541">
        <f t="shared" si="108"/>
        <v>0</v>
      </c>
      <c r="J1298" s="541"/>
      <c r="K1298" s="561"/>
      <c r="L1298" s="545"/>
      <c r="M1298" s="561"/>
      <c r="N1298" s="545"/>
      <c r="O1298" s="545"/>
    </row>
    <row r="1299" spans="3:15">
      <c r="C1299" s="537">
        <f>IF(D1261="","-",+C1298+1)</f>
        <v>2056</v>
      </c>
      <c r="D1299" s="495">
        <f t="shared" si="104"/>
        <v>0</v>
      </c>
      <c r="E1299" s="538">
        <f t="shared" si="83"/>
        <v>0</v>
      </c>
      <c r="F1299" s="495">
        <f t="shared" si="105"/>
        <v>0</v>
      </c>
      <c r="G1299" s="543">
        <f t="shared" si="106"/>
        <v>0</v>
      </c>
      <c r="H1299" s="544">
        <f t="shared" si="107"/>
        <v>0</v>
      </c>
      <c r="I1299" s="541">
        <f t="shared" si="108"/>
        <v>0</v>
      </c>
      <c r="J1299" s="541"/>
      <c r="K1299" s="561"/>
      <c r="L1299" s="545"/>
      <c r="M1299" s="561"/>
      <c r="N1299" s="545"/>
      <c r="O1299" s="545"/>
    </row>
    <row r="1300" spans="3:15">
      <c r="C1300" s="537">
        <f>IF(D1261="","-",+C1299+1)</f>
        <v>2057</v>
      </c>
      <c r="D1300" s="495">
        <f t="shared" si="104"/>
        <v>0</v>
      </c>
      <c r="E1300" s="538">
        <f t="shared" si="83"/>
        <v>0</v>
      </c>
      <c r="F1300" s="495">
        <f t="shared" si="105"/>
        <v>0</v>
      </c>
      <c r="G1300" s="543">
        <f t="shared" si="106"/>
        <v>0</v>
      </c>
      <c r="H1300" s="544">
        <f t="shared" si="107"/>
        <v>0</v>
      </c>
      <c r="I1300" s="541">
        <f t="shared" si="108"/>
        <v>0</v>
      </c>
      <c r="J1300" s="541"/>
      <c r="K1300" s="561"/>
      <c r="L1300" s="545"/>
      <c r="M1300" s="561"/>
      <c r="N1300" s="545"/>
      <c r="O1300" s="545"/>
    </row>
    <row r="1301" spans="3:15">
      <c r="C1301" s="537">
        <f>IF(D1261="","-",+C1300+1)</f>
        <v>2058</v>
      </c>
      <c r="D1301" s="495">
        <f t="shared" si="104"/>
        <v>0</v>
      </c>
      <c r="E1301" s="538">
        <f t="shared" si="83"/>
        <v>0</v>
      </c>
      <c r="F1301" s="495">
        <f t="shared" si="105"/>
        <v>0</v>
      </c>
      <c r="G1301" s="543">
        <f t="shared" si="106"/>
        <v>0</v>
      </c>
      <c r="H1301" s="544">
        <f t="shared" si="107"/>
        <v>0</v>
      </c>
      <c r="I1301" s="541">
        <f t="shared" si="108"/>
        <v>0</v>
      </c>
      <c r="J1301" s="541"/>
      <c r="K1301" s="561"/>
      <c r="L1301" s="545"/>
      <c r="M1301" s="561"/>
      <c r="N1301" s="545"/>
      <c r="O1301" s="545"/>
    </row>
    <row r="1302" spans="3:15">
      <c r="C1302" s="537">
        <f>IF(D1261="","-",+C1301+1)</f>
        <v>2059</v>
      </c>
      <c r="D1302" s="495">
        <f t="shared" si="104"/>
        <v>0</v>
      </c>
      <c r="E1302" s="538">
        <f t="shared" si="83"/>
        <v>0</v>
      </c>
      <c r="F1302" s="495">
        <f t="shared" si="105"/>
        <v>0</v>
      </c>
      <c r="G1302" s="543">
        <f t="shared" si="106"/>
        <v>0</v>
      </c>
      <c r="H1302" s="544">
        <f t="shared" si="107"/>
        <v>0</v>
      </c>
      <c r="I1302" s="541">
        <f t="shared" si="108"/>
        <v>0</v>
      </c>
      <c r="J1302" s="541"/>
      <c r="K1302" s="561"/>
      <c r="L1302" s="545"/>
      <c r="M1302" s="561"/>
      <c r="N1302" s="545"/>
      <c r="O1302" s="545"/>
    </row>
    <row r="1303" spans="3:15">
      <c r="C1303" s="537">
        <f>IF(D1261="","-",+C1302+1)</f>
        <v>2060</v>
      </c>
      <c r="D1303" s="495">
        <f t="shared" si="104"/>
        <v>0</v>
      </c>
      <c r="E1303" s="538">
        <f t="shared" si="83"/>
        <v>0</v>
      </c>
      <c r="F1303" s="495">
        <f t="shared" si="105"/>
        <v>0</v>
      </c>
      <c r="G1303" s="543">
        <f t="shared" si="106"/>
        <v>0</v>
      </c>
      <c r="H1303" s="544">
        <f t="shared" si="107"/>
        <v>0</v>
      </c>
      <c r="I1303" s="541">
        <f t="shared" si="108"/>
        <v>0</v>
      </c>
      <c r="J1303" s="541"/>
      <c r="K1303" s="561"/>
      <c r="L1303" s="545"/>
      <c r="M1303" s="561"/>
      <c r="N1303" s="545"/>
      <c r="O1303" s="545"/>
    </row>
    <row r="1304" spans="3:15">
      <c r="C1304" s="537">
        <f>IF(D1261="","-",+C1303+1)</f>
        <v>2061</v>
      </c>
      <c r="D1304" s="495">
        <f t="shared" si="104"/>
        <v>0</v>
      </c>
      <c r="E1304" s="538">
        <f t="shared" si="83"/>
        <v>0</v>
      </c>
      <c r="F1304" s="495">
        <f t="shared" si="105"/>
        <v>0</v>
      </c>
      <c r="G1304" s="543">
        <f t="shared" si="106"/>
        <v>0</v>
      </c>
      <c r="H1304" s="544">
        <f t="shared" si="107"/>
        <v>0</v>
      </c>
      <c r="I1304" s="541">
        <f t="shared" si="108"/>
        <v>0</v>
      </c>
      <c r="J1304" s="541"/>
      <c r="K1304" s="561"/>
      <c r="L1304" s="545"/>
      <c r="M1304" s="561"/>
      <c r="N1304" s="545"/>
      <c r="O1304" s="545"/>
    </row>
    <row r="1305" spans="3:15">
      <c r="C1305" s="537">
        <f>IF(D1261="","-",+C1304+1)</f>
        <v>2062</v>
      </c>
      <c r="D1305" s="495">
        <f t="shared" si="104"/>
        <v>0</v>
      </c>
      <c r="E1305" s="538">
        <f t="shared" si="83"/>
        <v>0</v>
      </c>
      <c r="F1305" s="495">
        <f t="shared" si="105"/>
        <v>0</v>
      </c>
      <c r="G1305" s="543">
        <f t="shared" si="106"/>
        <v>0</v>
      </c>
      <c r="H1305" s="544">
        <f t="shared" si="107"/>
        <v>0</v>
      </c>
      <c r="I1305" s="541">
        <f t="shared" si="108"/>
        <v>0</v>
      </c>
      <c r="J1305" s="541"/>
      <c r="K1305" s="561"/>
      <c r="L1305" s="545"/>
      <c r="M1305" s="561"/>
      <c r="N1305" s="545"/>
      <c r="O1305" s="545"/>
    </row>
    <row r="1306" spans="3:15">
      <c r="C1306" s="537">
        <f>IF(D1261="","-",+C1305+1)</f>
        <v>2063</v>
      </c>
      <c r="D1306" s="495">
        <f t="shared" si="104"/>
        <v>0</v>
      </c>
      <c r="E1306" s="538">
        <f t="shared" si="83"/>
        <v>0</v>
      </c>
      <c r="F1306" s="495">
        <f t="shared" si="105"/>
        <v>0</v>
      </c>
      <c r="G1306" s="543">
        <f t="shared" si="106"/>
        <v>0</v>
      </c>
      <c r="H1306" s="544">
        <f t="shared" si="107"/>
        <v>0</v>
      </c>
      <c r="I1306" s="541">
        <f t="shared" si="108"/>
        <v>0</v>
      </c>
      <c r="J1306" s="541"/>
      <c r="K1306" s="561"/>
      <c r="L1306" s="545"/>
      <c r="M1306" s="561"/>
      <c r="N1306" s="545"/>
      <c r="O1306" s="545"/>
    </row>
    <row r="1307" spans="3:15">
      <c r="C1307" s="537">
        <f>IF(D1261="","-",+C1306+1)</f>
        <v>2064</v>
      </c>
      <c r="D1307" s="495">
        <f t="shared" si="104"/>
        <v>0</v>
      </c>
      <c r="E1307" s="538">
        <f t="shared" si="83"/>
        <v>0</v>
      </c>
      <c r="F1307" s="495">
        <f t="shared" si="105"/>
        <v>0</v>
      </c>
      <c r="G1307" s="543">
        <f t="shared" si="106"/>
        <v>0</v>
      </c>
      <c r="H1307" s="544">
        <f t="shared" si="107"/>
        <v>0</v>
      </c>
      <c r="I1307" s="541">
        <f t="shared" si="108"/>
        <v>0</v>
      </c>
      <c r="J1307" s="541"/>
      <c r="K1307" s="561"/>
      <c r="L1307" s="545"/>
      <c r="M1307" s="561"/>
      <c r="N1307" s="545"/>
      <c r="O1307" s="545"/>
    </row>
    <row r="1308" spans="3:15">
      <c r="C1308" s="537">
        <f>IF(D1261="","-",+C1307+1)</f>
        <v>2065</v>
      </c>
      <c r="D1308" s="495">
        <f t="shared" si="104"/>
        <v>0</v>
      </c>
      <c r="E1308" s="538">
        <f t="shared" si="83"/>
        <v>0</v>
      </c>
      <c r="F1308" s="495">
        <f t="shared" si="105"/>
        <v>0</v>
      </c>
      <c r="G1308" s="543">
        <f t="shared" si="106"/>
        <v>0</v>
      </c>
      <c r="H1308" s="544">
        <f t="shared" si="107"/>
        <v>0</v>
      </c>
      <c r="I1308" s="541">
        <f t="shared" si="108"/>
        <v>0</v>
      </c>
      <c r="J1308" s="541"/>
      <c r="K1308" s="561"/>
      <c r="L1308" s="545"/>
      <c r="M1308" s="561"/>
      <c r="N1308" s="545"/>
      <c r="O1308" s="545"/>
    </row>
    <row r="1309" spans="3:15">
      <c r="C1309" s="537">
        <f>IF(D1261="","-",+C1308+1)</f>
        <v>2066</v>
      </c>
      <c r="D1309" s="495">
        <f t="shared" si="104"/>
        <v>0</v>
      </c>
      <c r="E1309" s="538">
        <f t="shared" si="83"/>
        <v>0</v>
      </c>
      <c r="F1309" s="495">
        <f t="shared" si="105"/>
        <v>0</v>
      </c>
      <c r="G1309" s="543">
        <f t="shared" si="106"/>
        <v>0</v>
      </c>
      <c r="H1309" s="544">
        <f t="shared" si="107"/>
        <v>0</v>
      </c>
      <c r="I1309" s="541">
        <f t="shared" si="108"/>
        <v>0</v>
      </c>
      <c r="J1309" s="541"/>
      <c r="K1309" s="561"/>
      <c r="L1309" s="545"/>
      <c r="M1309" s="561"/>
      <c r="N1309" s="545"/>
      <c r="O1309" s="545"/>
    </row>
    <row r="1310" spans="3:15">
      <c r="C1310" s="537">
        <f>IF(D1261="","-",+C1309+1)</f>
        <v>2067</v>
      </c>
      <c r="D1310" s="495">
        <f t="shared" si="104"/>
        <v>0</v>
      </c>
      <c r="E1310" s="538">
        <f t="shared" si="83"/>
        <v>0</v>
      </c>
      <c r="F1310" s="495">
        <f t="shared" si="105"/>
        <v>0</v>
      </c>
      <c r="G1310" s="543">
        <f t="shared" si="106"/>
        <v>0</v>
      </c>
      <c r="H1310" s="544">
        <f t="shared" si="107"/>
        <v>0</v>
      </c>
      <c r="I1310" s="541">
        <f t="shared" si="108"/>
        <v>0</v>
      </c>
      <c r="J1310" s="541"/>
      <c r="K1310" s="561"/>
      <c r="L1310" s="545"/>
      <c r="M1310" s="561"/>
      <c r="N1310" s="545"/>
      <c r="O1310" s="545"/>
    </row>
    <row r="1311" spans="3:15">
      <c r="C1311" s="537">
        <f>IF(D1261="","-",+C1310+1)</f>
        <v>2068</v>
      </c>
      <c r="D1311" s="495">
        <f t="shared" si="104"/>
        <v>0</v>
      </c>
      <c r="E1311" s="538">
        <f t="shared" si="83"/>
        <v>0</v>
      </c>
      <c r="F1311" s="495">
        <f t="shared" si="105"/>
        <v>0</v>
      </c>
      <c r="G1311" s="543">
        <f t="shared" si="106"/>
        <v>0</v>
      </c>
      <c r="H1311" s="544">
        <f t="shared" si="107"/>
        <v>0</v>
      </c>
      <c r="I1311" s="541">
        <f t="shared" si="108"/>
        <v>0</v>
      </c>
      <c r="J1311" s="541"/>
      <c r="K1311" s="561"/>
      <c r="L1311" s="545"/>
      <c r="M1311" s="561"/>
      <c r="N1311" s="545"/>
      <c r="O1311" s="545"/>
    </row>
    <row r="1312" spans="3:15">
      <c r="C1312" s="537">
        <f>IF(D1261="","-",+C1311+1)</f>
        <v>2069</v>
      </c>
      <c r="D1312" s="495">
        <f t="shared" si="104"/>
        <v>0</v>
      </c>
      <c r="E1312" s="538">
        <f t="shared" si="83"/>
        <v>0</v>
      </c>
      <c r="F1312" s="495">
        <f t="shared" si="105"/>
        <v>0</v>
      </c>
      <c r="G1312" s="543">
        <f t="shared" si="106"/>
        <v>0</v>
      </c>
      <c r="H1312" s="544">
        <f t="shared" si="107"/>
        <v>0</v>
      </c>
      <c r="I1312" s="541">
        <f t="shared" si="108"/>
        <v>0</v>
      </c>
      <c r="J1312" s="541"/>
      <c r="K1312" s="561"/>
      <c r="L1312" s="545"/>
      <c r="M1312" s="561"/>
      <c r="N1312" s="545"/>
      <c r="O1312" s="545"/>
    </row>
    <row r="1313" spans="3:15">
      <c r="C1313" s="537">
        <f>IF(D1261="","-",+C1312+1)</f>
        <v>2070</v>
      </c>
      <c r="D1313" s="495">
        <f t="shared" si="104"/>
        <v>0</v>
      </c>
      <c r="E1313" s="538">
        <f t="shared" si="83"/>
        <v>0</v>
      </c>
      <c r="F1313" s="495">
        <f t="shared" si="105"/>
        <v>0</v>
      </c>
      <c r="G1313" s="543">
        <f t="shared" si="106"/>
        <v>0</v>
      </c>
      <c r="H1313" s="544">
        <f t="shared" si="107"/>
        <v>0</v>
      </c>
      <c r="I1313" s="541">
        <f t="shared" si="108"/>
        <v>0</v>
      </c>
      <c r="J1313" s="541"/>
      <c r="K1313" s="561"/>
      <c r="L1313" s="545"/>
      <c r="M1313" s="561"/>
      <c r="N1313" s="545"/>
      <c r="O1313" s="545"/>
    </row>
    <row r="1314" spans="3:15">
      <c r="C1314" s="537">
        <f>IF(D1261="","-",+C1313+1)</f>
        <v>2071</v>
      </c>
      <c r="D1314" s="495">
        <f t="shared" si="104"/>
        <v>0</v>
      </c>
      <c r="E1314" s="538">
        <f t="shared" si="83"/>
        <v>0</v>
      </c>
      <c r="F1314" s="495">
        <f t="shared" si="105"/>
        <v>0</v>
      </c>
      <c r="G1314" s="543">
        <f t="shared" si="106"/>
        <v>0</v>
      </c>
      <c r="H1314" s="544">
        <f t="shared" si="107"/>
        <v>0</v>
      </c>
      <c r="I1314" s="541">
        <f t="shared" si="108"/>
        <v>0</v>
      </c>
      <c r="J1314" s="541"/>
      <c r="K1314" s="561"/>
      <c r="L1314" s="545"/>
      <c r="M1314" s="561"/>
      <c r="N1314" s="545"/>
      <c r="O1314" s="545"/>
    </row>
    <row r="1315" spans="3:15">
      <c r="C1315" s="537">
        <f>IF(D1261="","-",+C1314+1)</f>
        <v>2072</v>
      </c>
      <c r="D1315" s="495">
        <f t="shared" si="104"/>
        <v>0</v>
      </c>
      <c r="E1315" s="538">
        <f t="shared" si="83"/>
        <v>0</v>
      </c>
      <c r="F1315" s="495">
        <f t="shared" si="105"/>
        <v>0</v>
      </c>
      <c r="G1315" s="543">
        <f t="shared" si="106"/>
        <v>0</v>
      </c>
      <c r="H1315" s="544">
        <f t="shared" si="107"/>
        <v>0</v>
      </c>
      <c r="I1315" s="541">
        <f t="shared" si="108"/>
        <v>0</v>
      </c>
      <c r="J1315" s="541"/>
      <c r="K1315" s="561"/>
      <c r="L1315" s="545"/>
      <c r="M1315" s="561"/>
      <c r="N1315" s="545"/>
      <c r="O1315" s="545"/>
    </row>
    <row r="1316" spans="3:15">
      <c r="C1316" s="537">
        <f>IF(D1261="","-",+C1315+1)</f>
        <v>2073</v>
      </c>
      <c r="D1316" s="495">
        <f t="shared" si="104"/>
        <v>0</v>
      </c>
      <c r="E1316" s="538">
        <f t="shared" si="83"/>
        <v>0</v>
      </c>
      <c r="F1316" s="495">
        <f t="shared" si="105"/>
        <v>0</v>
      </c>
      <c r="G1316" s="543">
        <f t="shared" si="106"/>
        <v>0</v>
      </c>
      <c r="H1316" s="544">
        <f t="shared" si="107"/>
        <v>0</v>
      </c>
      <c r="I1316" s="541">
        <f t="shared" si="108"/>
        <v>0</v>
      </c>
      <c r="J1316" s="541"/>
      <c r="K1316" s="561"/>
      <c r="L1316" s="545"/>
      <c r="M1316" s="561"/>
      <c r="N1316" s="545"/>
      <c r="O1316" s="545"/>
    </row>
    <row r="1317" spans="3:15">
      <c r="C1317" s="537">
        <f>IF(D1261="","-",+C1316+1)</f>
        <v>2074</v>
      </c>
      <c r="D1317" s="495">
        <f t="shared" si="104"/>
        <v>0</v>
      </c>
      <c r="E1317" s="538">
        <f t="shared" si="83"/>
        <v>0</v>
      </c>
      <c r="F1317" s="495">
        <f t="shared" si="105"/>
        <v>0</v>
      </c>
      <c r="G1317" s="543">
        <f t="shared" si="106"/>
        <v>0</v>
      </c>
      <c r="H1317" s="544">
        <f t="shared" si="107"/>
        <v>0</v>
      </c>
      <c r="I1317" s="541">
        <f t="shared" si="108"/>
        <v>0</v>
      </c>
      <c r="J1317" s="541"/>
      <c r="K1317" s="561"/>
      <c r="L1317" s="545"/>
      <c r="M1317" s="561"/>
      <c r="N1317" s="545"/>
      <c r="O1317" s="545"/>
    </row>
    <row r="1318" spans="3:15">
      <c r="C1318" s="537">
        <f>IF(D1261="","-",+C1317+1)</f>
        <v>2075</v>
      </c>
      <c r="D1318" s="495">
        <f t="shared" si="104"/>
        <v>0</v>
      </c>
      <c r="E1318" s="538">
        <f t="shared" si="83"/>
        <v>0</v>
      </c>
      <c r="F1318" s="495">
        <f t="shared" si="105"/>
        <v>0</v>
      </c>
      <c r="G1318" s="543">
        <f t="shared" si="106"/>
        <v>0</v>
      </c>
      <c r="H1318" s="544">
        <f t="shared" si="107"/>
        <v>0</v>
      </c>
      <c r="I1318" s="541">
        <f t="shared" si="108"/>
        <v>0</v>
      </c>
      <c r="J1318" s="541"/>
      <c r="K1318" s="561"/>
      <c r="L1318" s="545"/>
      <c r="M1318" s="561"/>
      <c r="N1318" s="545"/>
      <c r="O1318" s="545"/>
    </row>
    <row r="1319" spans="3:15">
      <c r="C1319" s="537">
        <f>IF(D1261="","-",+C1318+1)</f>
        <v>2076</v>
      </c>
      <c r="D1319" s="495">
        <f t="shared" si="104"/>
        <v>0</v>
      </c>
      <c r="E1319" s="538">
        <f t="shared" si="83"/>
        <v>0</v>
      </c>
      <c r="F1319" s="495">
        <f t="shared" si="105"/>
        <v>0</v>
      </c>
      <c r="G1319" s="543">
        <f t="shared" si="106"/>
        <v>0</v>
      </c>
      <c r="H1319" s="544">
        <f t="shared" si="107"/>
        <v>0</v>
      </c>
      <c r="I1319" s="541">
        <f t="shared" si="108"/>
        <v>0</v>
      </c>
      <c r="J1319" s="541"/>
      <c r="K1319" s="561"/>
      <c r="L1319" s="545"/>
      <c r="M1319" s="561"/>
      <c r="N1319" s="545"/>
      <c r="O1319" s="545"/>
    </row>
    <row r="1320" spans="3:15">
      <c r="C1320" s="537">
        <f>IF(D1261="","-",+C1319+1)</f>
        <v>2077</v>
      </c>
      <c r="D1320" s="495">
        <f t="shared" si="104"/>
        <v>0</v>
      </c>
      <c r="E1320" s="538">
        <f t="shared" si="83"/>
        <v>0</v>
      </c>
      <c r="F1320" s="495">
        <f t="shared" si="105"/>
        <v>0</v>
      </c>
      <c r="G1320" s="543">
        <f t="shared" si="106"/>
        <v>0</v>
      </c>
      <c r="H1320" s="544">
        <f t="shared" si="107"/>
        <v>0</v>
      </c>
      <c r="I1320" s="541">
        <f t="shared" si="108"/>
        <v>0</v>
      </c>
      <c r="J1320" s="541"/>
      <c r="K1320" s="561"/>
      <c r="L1320" s="545"/>
      <c r="M1320" s="561"/>
      <c r="N1320" s="545"/>
      <c r="O1320" s="545"/>
    </row>
    <row r="1321" spans="3:15">
      <c r="C1321" s="537">
        <f>IF(D1261="","-",+C1320+1)</f>
        <v>2078</v>
      </c>
      <c r="D1321" s="495">
        <f t="shared" si="104"/>
        <v>0</v>
      </c>
      <c r="E1321" s="538">
        <f t="shared" si="83"/>
        <v>0</v>
      </c>
      <c r="F1321" s="495">
        <f t="shared" si="105"/>
        <v>0</v>
      </c>
      <c r="G1321" s="543">
        <f t="shared" si="106"/>
        <v>0</v>
      </c>
      <c r="H1321" s="544">
        <f t="shared" si="107"/>
        <v>0</v>
      </c>
      <c r="I1321" s="541">
        <f t="shared" si="108"/>
        <v>0</v>
      </c>
      <c r="J1321" s="541"/>
      <c r="K1321" s="561"/>
      <c r="L1321" s="545"/>
      <c r="M1321" s="561"/>
      <c r="N1321" s="545"/>
      <c r="O1321" s="545"/>
    </row>
    <row r="1322" spans="3:15">
      <c r="C1322" s="537">
        <f>IF(D1261="","-",+C1321+1)</f>
        <v>2079</v>
      </c>
      <c r="D1322" s="495">
        <f t="shared" si="104"/>
        <v>0</v>
      </c>
      <c r="E1322" s="538">
        <f t="shared" si="83"/>
        <v>0</v>
      </c>
      <c r="F1322" s="495">
        <f t="shared" si="105"/>
        <v>0</v>
      </c>
      <c r="G1322" s="543">
        <f t="shared" si="106"/>
        <v>0</v>
      </c>
      <c r="H1322" s="544">
        <f t="shared" si="107"/>
        <v>0</v>
      </c>
      <c r="I1322" s="541">
        <f t="shared" si="108"/>
        <v>0</v>
      </c>
      <c r="J1322" s="541"/>
      <c r="K1322" s="561"/>
      <c r="L1322" s="545"/>
      <c r="M1322" s="561"/>
      <c r="N1322" s="545"/>
      <c r="O1322" s="545"/>
    </row>
    <row r="1323" spans="3:15">
      <c r="C1323" s="537">
        <f>IF(D1261="","-",+C1322+1)</f>
        <v>2080</v>
      </c>
      <c r="D1323" s="495">
        <f t="shared" si="104"/>
        <v>0</v>
      </c>
      <c r="E1323" s="538">
        <f t="shared" si="83"/>
        <v>0</v>
      </c>
      <c r="F1323" s="495">
        <f t="shared" si="105"/>
        <v>0</v>
      </c>
      <c r="G1323" s="543">
        <f t="shared" si="106"/>
        <v>0</v>
      </c>
      <c r="H1323" s="544">
        <f t="shared" si="107"/>
        <v>0</v>
      </c>
      <c r="I1323" s="541">
        <f t="shared" si="108"/>
        <v>0</v>
      </c>
      <c r="J1323" s="541"/>
      <c r="K1323" s="561"/>
      <c r="L1323" s="545"/>
      <c r="M1323" s="561"/>
      <c r="N1323" s="545"/>
      <c r="O1323" s="545"/>
    </row>
    <row r="1324" spans="3:15">
      <c r="C1324" s="537">
        <f>IF(D1261="","-",+C1323+1)</f>
        <v>2081</v>
      </c>
      <c r="D1324" s="495">
        <f t="shared" si="104"/>
        <v>0</v>
      </c>
      <c r="E1324" s="538">
        <f t="shared" si="83"/>
        <v>0</v>
      </c>
      <c r="F1324" s="495">
        <f t="shared" si="105"/>
        <v>0</v>
      </c>
      <c r="G1324" s="543">
        <f t="shared" si="106"/>
        <v>0</v>
      </c>
      <c r="H1324" s="544">
        <f t="shared" si="107"/>
        <v>0</v>
      </c>
      <c r="I1324" s="541">
        <f t="shared" si="108"/>
        <v>0</v>
      </c>
      <c r="J1324" s="541"/>
      <c r="K1324" s="561"/>
      <c r="L1324" s="545"/>
      <c r="M1324" s="561"/>
      <c r="N1324" s="545"/>
      <c r="O1324" s="545"/>
    </row>
    <row r="1325" spans="3:15">
      <c r="C1325" s="537">
        <f>IF(D1261="","-",+C1324+1)</f>
        <v>2082</v>
      </c>
      <c r="D1325" s="495">
        <f t="shared" si="104"/>
        <v>0</v>
      </c>
      <c r="E1325" s="538">
        <f t="shared" si="83"/>
        <v>0</v>
      </c>
      <c r="F1325" s="495">
        <f t="shared" si="105"/>
        <v>0</v>
      </c>
      <c r="G1325" s="543">
        <f t="shared" si="106"/>
        <v>0</v>
      </c>
      <c r="H1325" s="544">
        <f t="shared" si="107"/>
        <v>0</v>
      </c>
      <c r="I1325" s="541">
        <f t="shared" si="108"/>
        <v>0</v>
      </c>
      <c r="J1325" s="541"/>
      <c r="K1325" s="561"/>
      <c r="L1325" s="545"/>
      <c r="M1325" s="561"/>
      <c r="N1325" s="545"/>
      <c r="O1325" s="545"/>
    </row>
    <row r="1326" spans="3:15" ht="13.5" thickBot="1">
      <c r="C1326" s="547">
        <f>IF(D1261="","-",+C1325+1)</f>
        <v>2083</v>
      </c>
      <c r="D1326" s="548">
        <f t="shared" si="104"/>
        <v>0</v>
      </c>
      <c r="E1326" s="538">
        <f t="shared" si="83"/>
        <v>0</v>
      </c>
      <c r="F1326" s="548">
        <f t="shared" si="105"/>
        <v>0</v>
      </c>
      <c r="G1326" s="550">
        <f t="shared" si="106"/>
        <v>0</v>
      </c>
      <c r="H1326" s="550">
        <f t="shared" si="107"/>
        <v>0</v>
      </c>
      <c r="I1326" s="551">
        <f t="shared" si="108"/>
        <v>0</v>
      </c>
      <c r="J1326" s="541"/>
      <c r="K1326" s="562"/>
      <c r="L1326" s="552"/>
      <c r="M1326" s="562"/>
      <c r="N1326" s="552"/>
      <c r="O1326" s="552"/>
    </row>
    <row r="1327" spans="3:15">
      <c r="C1327" s="495" t="s">
        <v>91</v>
      </c>
      <c r="D1327" s="492"/>
      <c r="E1327" s="1063">
        <f>SUM(E1267:E1326)</f>
        <v>0</v>
      </c>
      <c r="F1327" s="492"/>
      <c r="G1327" s="492">
        <f>SUM(G1267:G1326)</f>
        <v>0</v>
      </c>
      <c r="H1327" s="492">
        <f>SUM(H1267:H1326)</f>
        <v>0</v>
      </c>
      <c r="I1327" s="492">
        <f>SUM(I1267:I1326)</f>
        <v>0</v>
      </c>
      <c r="J1327" s="492"/>
      <c r="K1327" s="492"/>
      <c r="L1327" s="492"/>
      <c r="M1327" s="492"/>
      <c r="N1327" s="492"/>
      <c r="O1327" s="3"/>
    </row>
    <row r="1328" spans="3:15">
      <c r="D1328" s="47"/>
      <c r="E1328" s="3"/>
      <c r="F1328" s="3"/>
      <c r="G1328" s="3"/>
      <c r="H1328" s="479"/>
      <c r="I1328" s="479"/>
      <c r="J1328" s="492"/>
      <c r="K1328" s="479"/>
      <c r="L1328" s="479"/>
      <c r="M1328" s="479"/>
      <c r="N1328" s="479"/>
      <c r="O1328" s="3"/>
    </row>
    <row r="1329" spans="1:15">
      <c r="C1329" s="3" t="s">
        <v>13</v>
      </c>
      <c r="D1329" s="47"/>
      <c r="E1329" s="3"/>
      <c r="F1329" s="3"/>
      <c r="G1329" s="3"/>
      <c r="H1329" s="479"/>
      <c r="I1329" s="479"/>
      <c r="J1329" s="492"/>
      <c r="K1329" s="479"/>
      <c r="L1329" s="479"/>
      <c r="M1329" s="479"/>
      <c r="N1329" s="479"/>
      <c r="O1329" s="3"/>
    </row>
    <row r="1330" spans="1:15">
      <c r="C1330" s="3"/>
      <c r="D1330" s="47"/>
      <c r="E1330" s="3"/>
      <c r="F1330" s="3"/>
      <c r="G1330" s="3"/>
      <c r="H1330" s="479"/>
      <c r="I1330" s="479"/>
      <c r="J1330" s="492"/>
      <c r="K1330" s="479"/>
      <c r="L1330" s="479"/>
      <c r="M1330" s="479"/>
      <c r="N1330" s="479"/>
      <c r="O1330" s="3"/>
    </row>
    <row r="1331" spans="1:15">
      <c r="C1331" s="507" t="s">
        <v>14</v>
      </c>
      <c r="D1331" s="495"/>
      <c r="E1331" s="495"/>
      <c r="F1331" s="495"/>
      <c r="G1331" s="492"/>
      <c r="H1331" s="492"/>
      <c r="I1331" s="553"/>
      <c r="J1331" s="553"/>
      <c r="K1331" s="553"/>
      <c r="L1331" s="553"/>
      <c r="M1331" s="553"/>
      <c r="N1331" s="553"/>
      <c r="O1331" s="3"/>
    </row>
    <row r="1332" spans="1:15">
      <c r="C1332" s="496" t="s">
        <v>271</v>
      </c>
      <c r="D1332" s="495"/>
      <c r="E1332" s="495"/>
      <c r="F1332" s="495"/>
      <c r="G1332" s="492"/>
      <c r="H1332" s="492"/>
      <c r="I1332" s="553"/>
      <c r="J1332" s="553"/>
      <c r="K1332" s="553"/>
      <c r="L1332" s="553"/>
      <c r="M1332" s="553"/>
      <c r="N1332" s="553"/>
      <c r="O1332" s="3"/>
    </row>
    <row r="1333" spans="1:15">
      <c r="C1333" s="496" t="s">
        <v>92</v>
      </c>
      <c r="D1333" s="495"/>
      <c r="E1333" s="495"/>
      <c r="F1333" s="495"/>
      <c r="G1333" s="492"/>
      <c r="H1333" s="492"/>
      <c r="I1333" s="553"/>
      <c r="J1333" s="553"/>
      <c r="K1333" s="553"/>
      <c r="L1333" s="553"/>
      <c r="M1333" s="553"/>
      <c r="N1333" s="553"/>
      <c r="O1333" s="3"/>
    </row>
    <row r="1334" spans="1:15">
      <c r="C1334" s="496"/>
      <c r="D1334" s="495"/>
      <c r="E1334" s="495"/>
      <c r="F1334" s="495"/>
      <c r="G1334" s="492"/>
      <c r="H1334" s="492"/>
      <c r="I1334" s="553"/>
      <c r="J1334" s="553"/>
      <c r="K1334" s="553"/>
      <c r="L1334" s="553"/>
      <c r="M1334" s="553"/>
      <c r="N1334" s="553"/>
      <c r="O1334" s="3"/>
    </row>
    <row r="1335" spans="1:15">
      <c r="C1335" s="1185" t="s">
        <v>6</v>
      </c>
      <c r="D1335" s="1185"/>
      <c r="E1335" s="1185"/>
      <c r="F1335" s="1185"/>
      <c r="G1335" s="1185"/>
      <c r="H1335" s="1185"/>
      <c r="I1335" s="1185"/>
      <c r="J1335" s="1185"/>
      <c r="K1335" s="1185"/>
      <c r="L1335" s="1185"/>
      <c r="M1335" s="1185"/>
      <c r="N1335" s="1185"/>
      <c r="O1335" s="1185"/>
    </row>
    <row r="1336" spans="1:15">
      <c r="C1336" s="1185"/>
      <c r="D1336" s="1185"/>
      <c r="E1336" s="1185"/>
      <c r="F1336" s="1185"/>
      <c r="G1336" s="1185"/>
      <c r="H1336" s="1185"/>
      <c r="I1336" s="1185"/>
      <c r="J1336" s="1185"/>
      <c r="K1336" s="1185"/>
      <c r="L1336" s="1185"/>
      <c r="M1336" s="1185"/>
      <c r="N1336" s="1185"/>
      <c r="O1336" s="1185"/>
    </row>
    <row r="1338" spans="1:15" ht="20.25">
      <c r="A1338" s="436" t="str">
        <f>""&amp;A1262&amp;" Worksheet J -  ATRR PROJECTED Calculation for PJM Projects Charged to Benefiting Zones"</f>
        <v xml:space="preserve"> Worksheet J -  ATRR PROJECTED Calculation for PJM Projects Charged to Benefiting Zones</v>
      </c>
      <c r="B1338" s="3"/>
      <c r="C1338" s="3"/>
      <c r="D1338" s="47"/>
      <c r="E1338" s="3"/>
      <c r="F1338" s="478"/>
      <c r="G1338" s="3"/>
      <c r="H1338" s="479"/>
      <c r="K1338" s="387"/>
      <c r="L1338" s="387"/>
      <c r="M1338" s="387"/>
      <c r="N1338" s="387" t="str">
        <f>"Page "&amp;SUM(P$8:P1427)&amp;" of "</f>
        <v xml:space="preserve">Page 12 of </v>
      </c>
      <c r="O1338" s="437">
        <f>COUNT(P$8:P$56562)</f>
        <v>12</v>
      </c>
    </row>
    <row r="1339" spans="1:15" ht="20.25">
      <c r="A1339" s="436"/>
      <c r="B1339" s="3"/>
      <c r="C1339" s="3"/>
      <c r="D1339" s="47"/>
      <c r="E1339" s="3"/>
      <c r="F1339" s="478"/>
      <c r="G1339" s="3"/>
      <c r="H1339" s="479"/>
      <c r="K1339" s="387"/>
      <c r="L1339" s="387"/>
      <c r="M1339" s="387"/>
      <c r="N1339" s="387"/>
      <c r="O1339" s="437"/>
    </row>
    <row r="1340" spans="1:15" ht="18">
      <c r="B1340" s="438" t="s">
        <v>472</v>
      </c>
      <c r="C1340" s="119" t="s">
        <v>93</v>
      </c>
      <c r="D1340" s="47"/>
      <c r="E1340" s="3"/>
      <c r="F1340" s="3"/>
      <c r="G1340" s="3"/>
      <c r="H1340" s="479"/>
      <c r="I1340" s="479"/>
      <c r="J1340" s="492"/>
      <c r="K1340" s="479"/>
      <c r="L1340" s="479"/>
      <c r="M1340" s="479"/>
      <c r="N1340" s="479"/>
      <c r="O1340" s="3"/>
    </row>
    <row r="1341" spans="1:15" ht="18.75">
      <c r="B1341" s="438"/>
      <c r="C1341" s="6"/>
      <c r="D1341" s="47"/>
      <c r="E1341" s="3"/>
      <c r="F1341" s="3"/>
      <c r="G1341" s="3"/>
      <c r="H1341" s="479"/>
      <c r="I1341" s="479"/>
      <c r="J1341" s="492"/>
      <c r="K1341" s="479"/>
      <c r="L1341" s="479"/>
      <c r="M1341" s="479"/>
      <c r="N1341" s="479"/>
      <c r="O1341" s="3"/>
    </row>
    <row r="1342" spans="1:15" ht="18.75">
      <c r="B1342" s="438"/>
      <c r="C1342" s="6" t="s">
        <v>94</v>
      </c>
      <c r="D1342" s="47"/>
      <c r="E1342" s="3"/>
      <c r="F1342" s="3"/>
      <c r="G1342" s="3"/>
      <c r="H1342" s="479"/>
      <c r="I1342" s="479"/>
      <c r="J1342" s="492"/>
      <c r="K1342" s="479"/>
      <c r="L1342" s="479"/>
      <c r="M1342" s="479"/>
      <c r="N1342" s="479"/>
      <c r="O1342" s="3"/>
    </row>
    <row r="1343" spans="1:15" ht="15.75" thickBot="1">
      <c r="C1343" s="128"/>
      <c r="D1343" s="47"/>
      <c r="E1343" s="3"/>
      <c r="F1343" s="3"/>
      <c r="G1343" s="3"/>
      <c r="H1343" s="479"/>
      <c r="I1343" s="479"/>
      <c r="J1343" s="492"/>
      <c r="K1343" s="479"/>
      <c r="L1343" s="479"/>
      <c r="M1343" s="479"/>
      <c r="N1343" s="479"/>
      <c r="O1343" s="3"/>
    </row>
    <row r="1344" spans="1:15" ht="15.75">
      <c r="C1344" s="440" t="s">
        <v>95</v>
      </c>
      <c r="D1344" s="47"/>
      <c r="E1344" s="3"/>
      <c r="F1344" s="3"/>
      <c r="G1344" s="555"/>
      <c r="H1344" s="3" t="s">
        <v>74</v>
      </c>
      <c r="I1344" s="3"/>
      <c r="J1344" s="3"/>
      <c r="K1344" s="498" t="s">
        <v>99</v>
      </c>
      <c r="L1344" s="499"/>
      <c r="M1344" s="500"/>
      <c r="N1344" s="501">
        <f>IF(I1350=0,0,VLOOKUP(I1350,C1357:O1416,5))</f>
        <v>175743.34151025084</v>
      </c>
      <c r="O1344" s="3"/>
    </row>
    <row r="1345" spans="2:15" ht="15.75">
      <c r="C1345" s="440"/>
      <c r="D1345" s="47"/>
      <c r="E1345" s="3"/>
      <c r="F1345" s="3"/>
      <c r="G1345" s="3"/>
      <c r="H1345" s="502"/>
      <c r="I1345" s="502"/>
      <c r="J1345" s="503"/>
      <c r="K1345" s="504" t="s">
        <v>100</v>
      </c>
      <c r="L1345" s="505"/>
      <c r="M1345" s="3"/>
      <c r="N1345" s="506">
        <f>IF(I1350=0,0,VLOOKUP(I1350,C1357:O1416,6))</f>
        <v>175743.34151025084</v>
      </c>
      <c r="O1345" s="3"/>
    </row>
    <row r="1346" spans="2:15" ht="13.5" thickBot="1">
      <c r="C1346" s="507" t="s">
        <v>96</v>
      </c>
      <c r="D1346" s="1196" t="s">
        <v>1004</v>
      </c>
      <c r="E1346" s="1196"/>
      <c r="F1346" s="1196"/>
      <c r="G1346" s="1196"/>
      <c r="H1346" s="1196"/>
      <c r="I1346" s="1196"/>
      <c r="J1346" s="492"/>
      <c r="K1346" s="508" t="s">
        <v>238</v>
      </c>
      <c r="L1346" s="509"/>
      <c r="M1346" s="509"/>
      <c r="N1346" s="510">
        <f>+N1345-N1344</f>
        <v>0</v>
      </c>
      <c r="O1346" s="3"/>
    </row>
    <row r="1347" spans="2:15">
      <c r="C1347" s="511"/>
      <c r="D1347" s="1196"/>
      <c r="E1347" s="1196"/>
      <c r="F1347" s="1196"/>
      <c r="G1347" s="1196"/>
      <c r="H1347" s="1196"/>
      <c r="I1347" s="1196"/>
      <c r="J1347" s="492"/>
      <c r="K1347" s="479"/>
      <c r="L1347" s="479"/>
      <c r="M1347" s="479"/>
      <c r="N1347" s="479"/>
      <c r="O1347" s="3"/>
    </row>
    <row r="1348" spans="2:15" ht="13.5" thickBot="1">
      <c r="C1348" s="511"/>
      <c r="D1348" s="3"/>
      <c r="E1348" s="513"/>
      <c r="F1348" s="513"/>
      <c r="G1348" s="513"/>
      <c r="H1348" s="513"/>
      <c r="I1348" s="513"/>
      <c r="J1348" s="513"/>
      <c r="K1348" s="513"/>
      <c r="L1348" s="513"/>
      <c r="M1348" s="513"/>
      <c r="N1348" s="513"/>
      <c r="O1348" s="3"/>
    </row>
    <row r="1349" spans="2:15" ht="13.5" thickBot="1">
      <c r="C1349" s="514" t="s">
        <v>97</v>
      </c>
      <c r="D1349" s="515"/>
      <c r="E1349" s="515"/>
      <c r="F1349" s="515"/>
      <c r="G1349" s="515"/>
      <c r="H1349" s="515"/>
      <c r="I1349" s="516"/>
      <c r="K1349" s="3"/>
      <c r="L1349" s="3"/>
      <c r="M1349" s="3"/>
      <c r="N1349" s="3"/>
      <c r="O1349" s="3"/>
    </row>
    <row r="1350" spans="2:15" ht="15">
      <c r="C1350" s="517" t="s">
        <v>75</v>
      </c>
      <c r="D1350" s="936">
        <v>1540271.2255316072</v>
      </c>
      <c r="E1350" s="3" t="s">
        <v>76</v>
      </c>
      <c r="G1350" s="47"/>
      <c r="H1350" s="47"/>
      <c r="I1350" s="518">
        <f>$L$26</f>
        <v>2026</v>
      </c>
      <c r="J1350" s="70"/>
      <c r="K1350" s="1186" t="s">
        <v>247</v>
      </c>
      <c r="L1350" s="1186"/>
      <c r="M1350" s="1186"/>
      <c r="N1350" s="1186"/>
      <c r="O1350" s="1186"/>
    </row>
    <row r="1351" spans="2:15">
      <c r="C1351" s="517" t="s">
        <v>78</v>
      </c>
      <c r="D1351" s="558">
        <v>2026</v>
      </c>
      <c r="E1351" s="517" t="s">
        <v>79</v>
      </c>
      <c r="F1351" s="47"/>
      <c r="H1351"/>
      <c r="I1351" s="559">
        <f>IF(G1344="",0,$F$17)</f>
        <v>0</v>
      </c>
      <c r="J1351" s="519"/>
      <c r="K1351" s="492" t="s">
        <v>247</v>
      </c>
    </row>
    <row r="1352" spans="2:15">
      <c r="C1352" s="517" t="s">
        <v>80</v>
      </c>
      <c r="D1352" s="937">
        <v>11</v>
      </c>
      <c r="E1352" s="517" t="s">
        <v>81</v>
      </c>
      <c r="F1352" s="47"/>
      <c r="H1352"/>
      <c r="I1352" s="520">
        <f>$G$70</f>
        <v>0.11191367266500543</v>
      </c>
      <c r="J1352" s="478"/>
      <c r="K1352" t="str">
        <f>"          INPUT PROJECTED ARR (WITH &amp; WITHOUT INCENTIVES) FROM EACH PRIOR YEAR"</f>
        <v xml:space="preserve">          INPUT PROJECTED ARR (WITH &amp; WITHOUT INCENTIVES) FROM EACH PRIOR YEAR</v>
      </c>
    </row>
    <row r="1353" spans="2:15">
      <c r="C1353" s="517" t="s">
        <v>82</v>
      </c>
      <c r="D1353" s="521">
        <f>$G$79</f>
        <v>36</v>
      </c>
      <c r="E1353" s="517" t="s">
        <v>83</v>
      </c>
      <c r="F1353" s="47"/>
      <c r="H1353"/>
      <c r="I1353" s="520">
        <f>IF(G1344="",I1352,$G$69)</f>
        <v>0.11191367266500543</v>
      </c>
      <c r="J1353" s="478"/>
      <c r="K1353" t="s">
        <v>160</v>
      </c>
    </row>
    <row r="1354" spans="2:15" ht="13.5" thickBot="1">
      <c r="C1354" s="517" t="s">
        <v>84</v>
      </c>
      <c r="D1354" s="556" t="s">
        <v>810</v>
      </c>
      <c r="E1354" s="522" t="s">
        <v>85</v>
      </c>
      <c r="F1354" s="523"/>
      <c r="G1354" s="524"/>
      <c r="H1354" s="524"/>
      <c r="I1354" s="510">
        <f>IF(D1350=0,0,D1350/D1353)</f>
        <v>42785.311820322422</v>
      </c>
      <c r="J1354" s="492"/>
      <c r="K1354" s="492" t="s">
        <v>166</v>
      </c>
      <c r="L1354" s="492"/>
      <c r="M1354" s="492"/>
      <c r="N1354" s="492"/>
      <c r="O1354" s="3"/>
    </row>
    <row r="1355" spans="2:15" ht="51">
      <c r="B1355" s="439"/>
      <c r="C1355" s="525" t="s">
        <v>75</v>
      </c>
      <c r="D1355" s="526" t="s">
        <v>86</v>
      </c>
      <c r="E1355" s="527" t="s">
        <v>87</v>
      </c>
      <c r="F1355" s="526" t="s">
        <v>88</v>
      </c>
      <c r="G1355" s="527" t="s">
        <v>159</v>
      </c>
      <c r="H1355" s="528" t="s">
        <v>159</v>
      </c>
      <c r="I1355" s="525" t="s">
        <v>98</v>
      </c>
      <c r="J1355" s="529"/>
      <c r="K1355" s="527" t="s">
        <v>168</v>
      </c>
      <c r="L1355" s="530"/>
      <c r="M1355" s="527" t="s">
        <v>168</v>
      </c>
      <c r="N1355" s="530"/>
      <c r="O1355" s="530"/>
    </row>
    <row r="1356" spans="2:15" ht="13.5" thickBot="1">
      <c r="C1356" s="531" t="s">
        <v>475</v>
      </c>
      <c r="D1356" s="532" t="s">
        <v>476</v>
      </c>
      <c r="E1356" s="531" t="s">
        <v>369</v>
      </c>
      <c r="F1356" s="532" t="s">
        <v>476</v>
      </c>
      <c r="G1356" s="533" t="s">
        <v>101</v>
      </c>
      <c r="H1356" s="534" t="s">
        <v>103</v>
      </c>
      <c r="I1356" s="531" t="s">
        <v>15</v>
      </c>
      <c r="J1356" s="535"/>
      <c r="K1356" s="533" t="s">
        <v>90</v>
      </c>
      <c r="L1356" s="536"/>
      <c r="M1356" s="533" t="s">
        <v>103</v>
      </c>
      <c r="N1356" s="536"/>
      <c r="O1356" s="536"/>
    </row>
    <row r="1357" spans="2:15">
      <c r="C1357" s="935">
        <f>IF(D1351= "","-",D1351)</f>
        <v>2026</v>
      </c>
      <c r="D1357" s="495">
        <f>+D1350</f>
        <v>1540271.2255316072</v>
      </c>
      <c r="E1357" s="538">
        <f>+I1354/12*(12-D1352)</f>
        <v>3565.442651693535</v>
      </c>
      <c r="F1357" s="495">
        <f>+D1357-E1357</f>
        <v>1536705.7828799137</v>
      </c>
      <c r="G1357" s="705">
        <f>+$I$96*((D1357+F1357)/2)+E1357</f>
        <v>175743.34151025084</v>
      </c>
      <c r="H1357" s="706">
        <f>$I$97*((D1357+F1357)/2)+E1357</f>
        <v>175743.34151025084</v>
      </c>
      <c r="I1357" s="541">
        <f>+H1357-G1357</f>
        <v>0</v>
      </c>
      <c r="J1357" s="541"/>
      <c r="K1357" s="560"/>
      <c r="L1357" s="542"/>
      <c r="M1357" s="560"/>
      <c r="N1357" s="542"/>
      <c r="O1357" s="542"/>
    </row>
    <row r="1358" spans="2:15">
      <c r="C1358" s="537">
        <f>IF(D1351="","-",+C1357+1)</f>
        <v>2027</v>
      </c>
      <c r="D1358" s="495">
        <f t="shared" ref="D1358:D1416" si="109">F1357</f>
        <v>1536705.7828799137</v>
      </c>
      <c r="E1358" s="538">
        <f>IF(D1358&gt;$I$1354,$I$1354,D1358)</f>
        <v>42785.311820322422</v>
      </c>
      <c r="F1358" s="495">
        <f t="shared" ref="F1358:F1416" si="110">+D1358-E1358</f>
        <v>1493920.4710595913</v>
      </c>
      <c r="G1358" s="543">
        <f t="shared" ref="G1358:G1416" si="111">+$I$96*((D1358+F1358)/2)+E1358</f>
        <v>212369.56909700111</v>
      </c>
      <c r="H1358" s="544">
        <f t="shared" ref="H1358:H1416" si="112">$I$97*((D1358+F1358)/2)+E1358</f>
        <v>212369.56909700111</v>
      </c>
      <c r="I1358" s="541">
        <f t="shared" ref="I1358:I1416" si="113">+H1358-G1358</f>
        <v>0</v>
      </c>
      <c r="J1358" s="541"/>
      <c r="K1358" s="561"/>
      <c r="L1358" s="545"/>
      <c r="M1358" s="561"/>
      <c r="N1358" s="545"/>
      <c r="O1358" s="545"/>
    </row>
    <row r="1359" spans="2:15">
      <c r="C1359" s="537">
        <f>IF(D1351="","-",+C1358+1)</f>
        <v>2028</v>
      </c>
      <c r="D1359" s="495">
        <f t="shared" si="109"/>
        <v>1493920.4710595913</v>
      </c>
      <c r="E1359" s="538">
        <f t="shared" ref="E1359:E1416" si="114">IF(D1359&gt;$I$1354,$I$1354,D1359)</f>
        <v>42785.311820322422</v>
      </c>
      <c r="F1359" s="495">
        <f t="shared" si="110"/>
        <v>1451135.1592392689</v>
      </c>
      <c r="G1359" s="543">
        <f t="shared" si="111"/>
        <v>207581.30771507137</v>
      </c>
      <c r="H1359" s="544">
        <f t="shared" si="112"/>
        <v>207581.30771507137</v>
      </c>
      <c r="I1359" s="541">
        <f t="shared" si="113"/>
        <v>0</v>
      </c>
      <c r="J1359" s="541"/>
      <c r="K1359" s="561"/>
      <c r="L1359" s="545"/>
      <c r="M1359" s="561"/>
      <c r="N1359" s="545"/>
      <c r="O1359" s="545"/>
    </row>
    <row r="1360" spans="2:15">
      <c r="C1360" s="537">
        <f>IF(D1351="","-",+C1359+1)</f>
        <v>2029</v>
      </c>
      <c r="D1360" s="495">
        <f t="shared" si="109"/>
        <v>1451135.1592392689</v>
      </c>
      <c r="E1360" s="538">
        <f t="shared" si="114"/>
        <v>42785.311820322422</v>
      </c>
      <c r="F1360" s="495">
        <f t="shared" si="110"/>
        <v>1408349.8474189464</v>
      </c>
      <c r="G1360" s="543">
        <f t="shared" si="111"/>
        <v>202793.0463331416</v>
      </c>
      <c r="H1360" s="544">
        <f t="shared" si="112"/>
        <v>202793.0463331416</v>
      </c>
      <c r="I1360" s="541">
        <f t="shared" si="113"/>
        <v>0</v>
      </c>
      <c r="J1360" s="541"/>
      <c r="K1360" s="561"/>
      <c r="L1360" s="545"/>
      <c r="M1360" s="561"/>
      <c r="N1360" s="545"/>
      <c r="O1360" s="545"/>
    </row>
    <row r="1361" spans="3:15">
      <c r="C1361" s="943">
        <f>IF(D1351="","-",+C1360+1)</f>
        <v>2030</v>
      </c>
      <c r="D1361" s="495">
        <f t="shared" si="109"/>
        <v>1408349.8474189464</v>
      </c>
      <c r="E1361" s="538">
        <f t="shared" si="114"/>
        <v>42785.311820322422</v>
      </c>
      <c r="F1361" s="495">
        <f t="shared" si="110"/>
        <v>1365564.535598624</v>
      </c>
      <c r="G1361" s="543">
        <f t="shared" si="111"/>
        <v>198004.78495121186</v>
      </c>
      <c r="H1361" s="544">
        <f t="shared" si="112"/>
        <v>198004.78495121186</v>
      </c>
      <c r="I1361" s="541">
        <f t="shared" si="113"/>
        <v>0</v>
      </c>
      <c r="J1361" s="541"/>
      <c r="K1361" s="561"/>
      <c r="L1361" s="545"/>
      <c r="M1361" s="561"/>
      <c r="N1361" s="545"/>
      <c r="O1361" s="545"/>
    </row>
    <row r="1362" spans="3:15">
      <c r="C1362" s="943">
        <f>IF(D1351="","-",+C1361+1)</f>
        <v>2031</v>
      </c>
      <c r="D1362" s="495">
        <f t="shared" si="109"/>
        <v>1365564.535598624</v>
      </c>
      <c r="E1362" s="538">
        <f t="shared" si="114"/>
        <v>42785.311820322422</v>
      </c>
      <c r="F1362" s="495">
        <f t="shared" si="110"/>
        <v>1322779.2237783016</v>
      </c>
      <c r="G1362" s="543">
        <f t="shared" si="111"/>
        <v>193216.52356928209</v>
      </c>
      <c r="H1362" s="544">
        <f t="shared" si="112"/>
        <v>193216.52356928209</v>
      </c>
      <c r="I1362" s="541">
        <f t="shared" si="113"/>
        <v>0</v>
      </c>
      <c r="J1362" s="541"/>
      <c r="K1362" s="561"/>
      <c r="L1362" s="545"/>
      <c r="M1362" s="561"/>
      <c r="N1362" s="545"/>
      <c r="O1362" s="545"/>
    </row>
    <row r="1363" spans="3:15">
      <c r="C1363" s="943">
        <f>IF(D1351="","-",+C1362+1)</f>
        <v>2032</v>
      </c>
      <c r="D1363" s="495">
        <f t="shared" si="109"/>
        <v>1322779.2237783016</v>
      </c>
      <c r="E1363" s="538">
        <f t="shared" si="114"/>
        <v>42785.311820322422</v>
      </c>
      <c r="F1363" s="495">
        <f t="shared" si="110"/>
        <v>1279993.9119579792</v>
      </c>
      <c r="G1363" s="543">
        <f t="shared" si="111"/>
        <v>188428.26218735237</v>
      </c>
      <c r="H1363" s="544">
        <f t="shared" si="112"/>
        <v>188428.26218735237</v>
      </c>
      <c r="I1363" s="541">
        <f t="shared" si="113"/>
        <v>0</v>
      </c>
      <c r="J1363" s="541"/>
      <c r="K1363" s="561"/>
      <c r="L1363" s="545"/>
      <c r="M1363" s="561"/>
      <c r="N1363" s="545"/>
      <c r="O1363" s="545"/>
    </row>
    <row r="1364" spans="3:15">
      <c r="C1364" s="537">
        <f>IF(D1351="","-",+C1363+1)</f>
        <v>2033</v>
      </c>
      <c r="D1364" s="495">
        <f t="shared" si="109"/>
        <v>1279993.9119579792</v>
      </c>
      <c r="E1364" s="538">
        <f t="shared" si="114"/>
        <v>42785.311820322422</v>
      </c>
      <c r="F1364" s="495">
        <f t="shared" si="110"/>
        <v>1237208.6001376568</v>
      </c>
      <c r="G1364" s="543">
        <f t="shared" si="111"/>
        <v>183640.00080542261</v>
      </c>
      <c r="H1364" s="544">
        <f t="shared" si="112"/>
        <v>183640.00080542261</v>
      </c>
      <c r="I1364" s="541">
        <f t="shared" si="113"/>
        <v>0</v>
      </c>
      <c r="J1364" s="541"/>
      <c r="K1364" s="561"/>
      <c r="L1364" s="545"/>
      <c r="M1364" s="561"/>
      <c r="N1364" s="545"/>
      <c r="O1364" s="545"/>
    </row>
    <row r="1365" spans="3:15">
      <c r="C1365" s="537">
        <f>IF(D1351="","-",+C1364+1)</f>
        <v>2034</v>
      </c>
      <c r="D1365" s="495">
        <f t="shared" si="109"/>
        <v>1237208.6001376568</v>
      </c>
      <c r="E1365" s="538">
        <f t="shared" si="114"/>
        <v>42785.311820322422</v>
      </c>
      <c r="F1365" s="495">
        <f t="shared" si="110"/>
        <v>1194423.2883173344</v>
      </c>
      <c r="G1365" s="543">
        <f t="shared" si="111"/>
        <v>178851.73942349287</v>
      </c>
      <c r="H1365" s="544">
        <f t="shared" si="112"/>
        <v>178851.73942349287</v>
      </c>
      <c r="I1365" s="541">
        <f t="shared" si="113"/>
        <v>0</v>
      </c>
      <c r="J1365" s="541"/>
      <c r="K1365" s="561"/>
      <c r="L1365" s="545"/>
      <c r="M1365" s="561"/>
      <c r="N1365" s="545"/>
      <c r="O1365" s="545"/>
    </row>
    <row r="1366" spans="3:15">
      <c r="C1366" s="537">
        <f>IF(D1351="","-",+C1365+1)</f>
        <v>2035</v>
      </c>
      <c r="D1366" s="495">
        <f t="shared" si="109"/>
        <v>1194423.2883173344</v>
      </c>
      <c r="E1366" s="538">
        <f t="shared" si="114"/>
        <v>42785.311820322422</v>
      </c>
      <c r="F1366" s="495">
        <f t="shared" si="110"/>
        <v>1151637.976497012</v>
      </c>
      <c r="G1366" s="543">
        <f t="shared" si="111"/>
        <v>174063.4780415631</v>
      </c>
      <c r="H1366" s="544">
        <f t="shared" si="112"/>
        <v>174063.4780415631</v>
      </c>
      <c r="I1366" s="541">
        <f t="shared" si="113"/>
        <v>0</v>
      </c>
      <c r="J1366" s="541"/>
      <c r="K1366" s="561"/>
      <c r="L1366" s="545"/>
      <c r="M1366" s="561"/>
      <c r="N1366" s="545"/>
      <c r="O1366" s="545"/>
    </row>
    <row r="1367" spans="3:15">
      <c r="C1367" s="537">
        <f>IF(D1351="","-",+C1366+1)</f>
        <v>2036</v>
      </c>
      <c r="D1367" s="495">
        <f t="shared" si="109"/>
        <v>1151637.976497012</v>
      </c>
      <c r="E1367" s="538">
        <f t="shared" si="114"/>
        <v>42785.311820322422</v>
      </c>
      <c r="F1367" s="495">
        <f t="shared" si="110"/>
        <v>1108852.6646766895</v>
      </c>
      <c r="G1367" s="543">
        <f t="shared" si="111"/>
        <v>169275.21665963338</v>
      </c>
      <c r="H1367" s="544">
        <f t="shared" si="112"/>
        <v>169275.21665963338</v>
      </c>
      <c r="I1367" s="541">
        <f t="shared" si="113"/>
        <v>0</v>
      </c>
      <c r="J1367" s="541"/>
      <c r="K1367" s="561"/>
      <c r="L1367" s="545"/>
      <c r="M1367" s="561"/>
      <c r="N1367" s="545"/>
      <c r="O1367" s="545"/>
    </row>
    <row r="1368" spans="3:15">
      <c r="C1368" s="537">
        <f>IF(D1351="","-",+C1367+1)</f>
        <v>2037</v>
      </c>
      <c r="D1368" s="495">
        <f t="shared" si="109"/>
        <v>1108852.6646766895</v>
      </c>
      <c r="E1368" s="538">
        <f t="shared" si="114"/>
        <v>42785.311820322422</v>
      </c>
      <c r="F1368" s="495">
        <f t="shared" si="110"/>
        <v>1066067.3528563671</v>
      </c>
      <c r="G1368" s="543">
        <f t="shared" si="111"/>
        <v>164486.95527770359</v>
      </c>
      <c r="H1368" s="544">
        <f t="shared" si="112"/>
        <v>164486.95527770359</v>
      </c>
      <c r="I1368" s="541">
        <f t="shared" si="113"/>
        <v>0</v>
      </c>
      <c r="J1368" s="541"/>
      <c r="K1368" s="561"/>
      <c r="L1368" s="545"/>
      <c r="M1368" s="561"/>
      <c r="N1368" s="545"/>
      <c r="O1368" s="545"/>
    </row>
    <row r="1369" spans="3:15">
      <c r="C1369" s="537">
        <f>IF(D1351="","-",+C1368+1)</f>
        <v>2038</v>
      </c>
      <c r="D1369" s="495">
        <f t="shared" si="109"/>
        <v>1066067.3528563671</v>
      </c>
      <c r="E1369" s="538">
        <f t="shared" si="114"/>
        <v>42785.311820322422</v>
      </c>
      <c r="F1369" s="495">
        <f t="shared" si="110"/>
        <v>1023282.0410360447</v>
      </c>
      <c r="G1369" s="543">
        <f t="shared" si="111"/>
        <v>159698.69389577387</v>
      </c>
      <c r="H1369" s="544">
        <f t="shared" si="112"/>
        <v>159698.69389577387</v>
      </c>
      <c r="I1369" s="541">
        <f t="shared" si="113"/>
        <v>0</v>
      </c>
      <c r="J1369" s="541"/>
      <c r="K1369" s="561"/>
      <c r="L1369" s="545"/>
      <c r="M1369" s="561"/>
      <c r="N1369" s="546"/>
      <c r="O1369" s="545"/>
    </row>
    <row r="1370" spans="3:15">
      <c r="C1370" s="537">
        <f>IF(D1351="","-",+C1369+1)</f>
        <v>2039</v>
      </c>
      <c r="D1370" s="495">
        <f t="shared" si="109"/>
        <v>1023282.0410360447</v>
      </c>
      <c r="E1370" s="538">
        <f t="shared" si="114"/>
        <v>42785.311820322422</v>
      </c>
      <c r="F1370" s="495">
        <f t="shared" si="110"/>
        <v>980496.7292157223</v>
      </c>
      <c r="G1370" s="543">
        <f t="shared" si="111"/>
        <v>154910.43251384411</v>
      </c>
      <c r="H1370" s="544">
        <f t="shared" si="112"/>
        <v>154910.43251384411</v>
      </c>
      <c r="I1370" s="541">
        <f t="shared" si="113"/>
        <v>0</v>
      </c>
      <c r="J1370" s="541"/>
      <c r="K1370" s="561"/>
      <c r="L1370" s="545"/>
      <c r="M1370" s="561"/>
      <c r="N1370" s="545"/>
      <c r="O1370" s="545"/>
    </row>
    <row r="1371" spans="3:15">
      <c r="C1371" s="537">
        <f>IF(D1351="","-",+C1370+1)</f>
        <v>2040</v>
      </c>
      <c r="D1371" s="495">
        <f t="shared" si="109"/>
        <v>980496.7292157223</v>
      </c>
      <c r="E1371" s="538">
        <f t="shared" si="114"/>
        <v>42785.311820322422</v>
      </c>
      <c r="F1371" s="495">
        <f t="shared" si="110"/>
        <v>937711.41739539988</v>
      </c>
      <c r="G1371" s="543">
        <f t="shared" si="111"/>
        <v>150122.17113191437</v>
      </c>
      <c r="H1371" s="544">
        <f t="shared" si="112"/>
        <v>150122.17113191437</v>
      </c>
      <c r="I1371" s="541">
        <f t="shared" si="113"/>
        <v>0</v>
      </c>
      <c r="J1371" s="541"/>
      <c r="K1371" s="561"/>
      <c r="L1371" s="545"/>
      <c r="M1371" s="561"/>
      <c r="N1371" s="545"/>
      <c r="O1371" s="545"/>
    </row>
    <row r="1372" spans="3:15">
      <c r="C1372" s="537">
        <f>IF(D1351="","-",+C1371+1)</f>
        <v>2041</v>
      </c>
      <c r="D1372" s="495">
        <f t="shared" si="109"/>
        <v>937711.41739539988</v>
      </c>
      <c r="E1372" s="538">
        <f t="shared" si="114"/>
        <v>42785.311820322422</v>
      </c>
      <c r="F1372" s="495">
        <f t="shared" si="110"/>
        <v>894926.10557507747</v>
      </c>
      <c r="G1372" s="543">
        <f t="shared" si="111"/>
        <v>145333.9097499846</v>
      </c>
      <c r="H1372" s="544">
        <f t="shared" si="112"/>
        <v>145333.9097499846</v>
      </c>
      <c r="I1372" s="541">
        <f t="shared" si="113"/>
        <v>0</v>
      </c>
      <c r="J1372" s="541"/>
      <c r="K1372" s="561"/>
      <c r="L1372" s="545"/>
      <c r="M1372" s="561"/>
      <c r="N1372" s="545"/>
      <c r="O1372" s="545"/>
    </row>
    <row r="1373" spans="3:15">
      <c r="C1373" s="537">
        <f>IF(D1351="","-",+C1372+1)</f>
        <v>2042</v>
      </c>
      <c r="D1373" s="495">
        <f t="shared" si="109"/>
        <v>894926.10557507747</v>
      </c>
      <c r="E1373" s="538">
        <f t="shared" si="114"/>
        <v>42785.311820322422</v>
      </c>
      <c r="F1373" s="495">
        <f t="shared" si="110"/>
        <v>852140.79375475505</v>
      </c>
      <c r="G1373" s="543">
        <f t="shared" si="111"/>
        <v>140545.64836805486</v>
      </c>
      <c r="H1373" s="544">
        <f t="shared" si="112"/>
        <v>140545.64836805486</v>
      </c>
      <c r="I1373" s="541">
        <f t="shared" si="113"/>
        <v>0</v>
      </c>
      <c r="J1373" s="541"/>
      <c r="K1373" s="561"/>
      <c r="L1373" s="545"/>
      <c r="M1373" s="561"/>
      <c r="N1373" s="545"/>
      <c r="O1373" s="545"/>
    </row>
    <row r="1374" spans="3:15">
      <c r="C1374" s="537">
        <f>IF(D1351="","-",+C1373+1)</f>
        <v>2043</v>
      </c>
      <c r="D1374" s="495">
        <f t="shared" si="109"/>
        <v>852140.79375475505</v>
      </c>
      <c r="E1374" s="538">
        <f t="shared" si="114"/>
        <v>42785.311820322422</v>
      </c>
      <c r="F1374" s="495">
        <f t="shared" si="110"/>
        <v>809355.48193443264</v>
      </c>
      <c r="G1374" s="543">
        <f t="shared" si="111"/>
        <v>135757.38698612512</v>
      </c>
      <c r="H1374" s="544">
        <f t="shared" si="112"/>
        <v>135757.38698612512</v>
      </c>
      <c r="I1374" s="541">
        <f t="shared" si="113"/>
        <v>0</v>
      </c>
      <c r="J1374" s="541"/>
      <c r="K1374" s="561"/>
      <c r="L1374" s="545"/>
      <c r="M1374" s="561"/>
      <c r="N1374" s="545"/>
      <c r="O1374" s="545"/>
    </row>
    <row r="1375" spans="3:15">
      <c r="C1375" s="537">
        <f>IF(D1351="","-",+C1374+1)</f>
        <v>2044</v>
      </c>
      <c r="D1375" s="495">
        <f t="shared" si="109"/>
        <v>809355.48193443264</v>
      </c>
      <c r="E1375" s="538">
        <f t="shared" si="114"/>
        <v>42785.311820322422</v>
      </c>
      <c r="F1375" s="495">
        <f t="shared" si="110"/>
        <v>766570.17011411022</v>
      </c>
      <c r="G1375" s="543">
        <f t="shared" si="111"/>
        <v>130969.12560419535</v>
      </c>
      <c r="H1375" s="544">
        <f t="shared" si="112"/>
        <v>130969.12560419535</v>
      </c>
      <c r="I1375" s="541">
        <f t="shared" si="113"/>
        <v>0</v>
      </c>
      <c r="J1375" s="541"/>
      <c r="K1375" s="561"/>
      <c r="L1375" s="545"/>
      <c r="M1375" s="561"/>
      <c r="N1375" s="545"/>
      <c r="O1375" s="545"/>
    </row>
    <row r="1376" spans="3:15">
      <c r="C1376" s="537">
        <f>IF(D1351="","-",+C1375+1)</f>
        <v>2045</v>
      </c>
      <c r="D1376" s="495">
        <f t="shared" si="109"/>
        <v>766570.17011411022</v>
      </c>
      <c r="E1376" s="538">
        <f t="shared" si="114"/>
        <v>42785.311820322422</v>
      </c>
      <c r="F1376" s="495">
        <f t="shared" si="110"/>
        <v>723784.85829378781</v>
      </c>
      <c r="G1376" s="543">
        <f t="shared" si="111"/>
        <v>126180.86422226561</v>
      </c>
      <c r="H1376" s="544">
        <f t="shared" si="112"/>
        <v>126180.86422226561</v>
      </c>
      <c r="I1376" s="541">
        <f t="shared" si="113"/>
        <v>0</v>
      </c>
      <c r="J1376" s="541"/>
      <c r="K1376" s="561"/>
      <c r="L1376" s="545"/>
      <c r="M1376" s="561"/>
      <c r="N1376" s="545"/>
      <c r="O1376" s="545"/>
    </row>
    <row r="1377" spans="3:15">
      <c r="C1377" s="537">
        <f>IF(D1351="","-",+C1376+1)</f>
        <v>2046</v>
      </c>
      <c r="D1377" s="495">
        <f t="shared" si="109"/>
        <v>723784.85829378781</v>
      </c>
      <c r="E1377" s="538">
        <f t="shared" si="114"/>
        <v>42785.311820322422</v>
      </c>
      <c r="F1377" s="495">
        <f t="shared" si="110"/>
        <v>680999.54647346539</v>
      </c>
      <c r="G1377" s="543">
        <f t="shared" si="111"/>
        <v>121392.60284033587</v>
      </c>
      <c r="H1377" s="544">
        <f t="shared" si="112"/>
        <v>121392.60284033587</v>
      </c>
      <c r="I1377" s="541">
        <f t="shared" si="113"/>
        <v>0</v>
      </c>
      <c r="J1377" s="541"/>
      <c r="K1377" s="561"/>
      <c r="L1377" s="545"/>
      <c r="M1377" s="561"/>
      <c r="N1377" s="545"/>
      <c r="O1377" s="545"/>
    </row>
    <row r="1378" spans="3:15">
      <c r="C1378" s="537">
        <f>IF(D1351="","-",+C1377+1)</f>
        <v>2047</v>
      </c>
      <c r="D1378" s="495">
        <f t="shared" si="109"/>
        <v>680999.54647346539</v>
      </c>
      <c r="E1378" s="538">
        <f t="shared" si="114"/>
        <v>42785.311820322422</v>
      </c>
      <c r="F1378" s="495">
        <f t="shared" si="110"/>
        <v>638214.23465314298</v>
      </c>
      <c r="G1378" s="543">
        <f t="shared" si="111"/>
        <v>116604.3414584061</v>
      </c>
      <c r="H1378" s="544">
        <f t="shared" si="112"/>
        <v>116604.3414584061</v>
      </c>
      <c r="I1378" s="541">
        <f t="shared" si="113"/>
        <v>0</v>
      </c>
      <c r="J1378" s="541"/>
      <c r="K1378" s="561"/>
      <c r="L1378" s="545"/>
      <c r="M1378" s="561"/>
      <c r="N1378" s="545"/>
      <c r="O1378" s="545"/>
    </row>
    <row r="1379" spans="3:15">
      <c r="C1379" s="537">
        <f>IF(D1351="","-",+C1378+1)</f>
        <v>2048</v>
      </c>
      <c r="D1379" s="495">
        <f t="shared" si="109"/>
        <v>638214.23465314298</v>
      </c>
      <c r="E1379" s="538">
        <f t="shared" si="114"/>
        <v>42785.311820322422</v>
      </c>
      <c r="F1379" s="495">
        <f t="shared" si="110"/>
        <v>595428.92283282056</v>
      </c>
      <c r="G1379" s="543">
        <f t="shared" si="111"/>
        <v>111816.08007647636</v>
      </c>
      <c r="H1379" s="544">
        <f t="shared" si="112"/>
        <v>111816.08007647636</v>
      </c>
      <c r="I1379" s="541">
        <f t="shared" si="113"/>
        <v>0</v>
      </c>
      <c r="J1379" s="541"/>
      <c r="K1379" s="561"/>
      <c r="L1379" s="545"/>
      <c r="M1379" s="561"/>
      <c r="N1379" s="545"/>
      <c r="O1379" s="545"/>
    </row>
    <row r="1380" spans="3:15">
      <c r="C1380" s="537">
        <f>IF(D1351="","-",+C1379+1)</f>
        <v>2049</v>
      </c>
      <c r="D1380" s="495">
        <f t="shared" si="109"/>
        <v>595428.92283282056</v>
      </c>
      <c r="E1380" s="538">
        <f t="shared" si="114"/>
        <v>42785.311820322422</v>
      </c>
      <c r="F1380" s="495">
        <f t="shared" si="110"/>
        <v>552643.61101249815</v>
      </c>
      <c r="G1380" s="543">
        <f t="shared" si="111"/>
        <v>107027.81869454662</v>
      </c>
      <c r="H1380" s="544">
        <f t="shared" si="112"/>
        <v>107027.81869454662</v>
      </c>
      <c r="I1380" s="541">
        <f t="shared" si="113"/>
        <v>0</v>
      </c>
      <c r="J1380" s="541"/>
      <c r="K1380" s="561"/>
      <c r="L1380" s="545"/>
      <c r="M1380" s="561"/>
      <c r="N1380" s="545"/>
      <c r="O1380" s="545"/>
    </row>
    <row r="1381" spans="3:15">
      <c r="C1381" s="537">
        <f>IF(D1351="","-",+C1380+1)</f>
        <v>2050</v>
      </c>
      <c r="D1381" s="495">
        <f t="shared" si="109"/>
        <v>552643.61101249815</v>
      </c>
      <c r="E1381" s="538">
        <f t="shared" si="114"/>
        <v>42785.311820322422</v>
      </c>
      <c r="F1381" s="495">
        <f t="shared" si="110"/>
        <v>509858.29919217573</v>
      </c>
      <c r="G1381" s="543">
        <f t="shared" si="111"/>
        <v>102239.55731261685</v>
      </c>
      <c r="H1381" s="544">
        <f t="shared" si="112"/>
        <v>102239.55731261685</v>
      </c>
      <c r="I1381" s="541">
        <f t="shared" si="113"/>
        <v>0</v>
      </c>
      <c r="J1381" s="541"/>
      <c r="K1381" s="561"/>
      <c r="L1381" s="545"/>
      <c r="M1381" s="561"/>
      <c r="N1381" s="545"/>
      <c r="O1381" s="545"/>
    </row>
    <row r="1382" spans="3:15">
      <c r="C1382" s="537">
        <f>IF(D1351="","-",+C1381+1)</f>
        <v>2051</v>
      </c>
      <c r="D1382" s="495">
        <f t="shared" si="109"/>
        <v>509858.29919217573</v>
      </c>
      <c r="E1382" s="538">
        <f t="shared" si="114"/>
        <v>42785.311820322422</v>
      </c>
      <c r="F1382" s="495">
        <f t="shared" si="110"/>
        <v>467072.98737185332</v>
      </c>
      <c r="G1382" s="543">
        <f t="shared" si="111"/>
        <v>97451.295930687105</v>
      </c>
      <c r="H1382" s="544">
        <f t="shared" si="112"/>
        <v>97451.295930687105</v>
      </c>
      <c r="I1382" s="541">
        <f t="shared" si="113"/>
        <v>0</v>
      </c>
      <c r="J1382" s="541"/>
      <c r="K1382" s="561"/>
      <c r="L1382" s="545"/>
      <c r="M1382" s="561"/>
      <c r="N1382" s="545"/>
      <c r="O1382" s="545"/>
    </row>
    <row r="1383" spans="3:15">
      <c r="C1383" s="537">
        <f>IF(D1351="","-",+C1382+1)</f>
        <v>2052</v>
      </c>
      <c r="D1383" s="495">
        <f t="shared" si="109"/>
        <v>467072.98737185332</v>
      </c>
      <c r="E1383" s="538">
        <f t="shared" si="114"/>
        <v>42785.311820322422</v>
      </c>
      <c r="F1383" s="495">
        <f t="shared" si="110"/>
        <v>424287.67555153091</v>
      </c>
      <c r="G1383" s="543">
        <f t="shared" si="111"/>
        <v>92663.034548757365</v>
      </c>
      <c r="H1383" s="544">
        <f t="shared" si="112"/>
        <v>92663.034548757365</v>
      </c>
      <c r="I1383" s="541">
        <f t="shared" si="113"/>
        <v>0</v>
      </c>
      <c r="J1383" s="541"/>
      <c r="K1383" s="561"/>
      <c r="L1383" s="545"/>
      <c r="M1383" s="561"/>
      <c r="N1383" s="545"/>
      <c r="O1383" s="545"/>
    </row>
    <row r="1384" spans="3:15">
      <c r="C1384" s="537">
        <f>IF(D1351="","-",+C1383+1)</f>
        <v>2053</v>
      </c>
      <c r="D1384" s="495">
        <f t="shared" si="109"/>
        <v>424287.67555153091</v>
      </c>
      <c r="E1384" s="538">
        <f t="shared" si="114"/>
        <v>42785.311820322422</v>
      </c>
      <c r="F1384" s="495">
        <f t="shared" si="110"/>
        <v>381502.36373120849</v>
      </c>
      <c r="G1384" s="543">
        <f t="shared" si="111"/>
        <v>87874.773166827596</v>
      </c>
      <c r="H1384" s="544">
        <f t="shared" si="112"/>
        <v>87874.773166827596</v>
      </c>
      <c r="I1384" s="541">
        <f t="shared" si="113"/>
        <v>0</v>
      </c>
      <c r="J1384" s="541"/>
      <c r="K1384" s="561"/>
      <c r="L1384" s="545"/>
      <c r="M1384" s="561"/>
      <c r="N1384" s="545"/>
      <c r="O1384" s="545"/>
    </row>
    <row r="1385" spans="3:15">
      <c r="C1385" s="537">
        <f>IF(D1351="","-",+C1384+1)</f>
        <v>2054</v>
      </c>
      <c r="D1385" s="495">
        <f t="shared" si="109"/>
        <v>381502.36373120849</v>
      </c>
      <c r="E1385" s="538">
        <f t="shared" si="114"/>
        <v>42785.311820322422</v>
      </c>
      <c r="F1385" s="495">
        <f t="shared" si="110"/>
        <v>338717.05191088608</v>
      </c>
      <c r="G1385" s="539">
        <f t="shared" si="111"/>
        <v>83086.511784897855</v>
      </c>
      <c r="H1385" s="544">
        <f t="shared" si="112"/>
        <v>83086.511784897855</v>
      </c>
      <c r="I1385" s="541">
        <f t="shared" si="113"/>
        <v>0</v>
      </c>
      <c r="J1385" s="541"/>
      <c r="K1385" s="561"/>
      <c r="L1385" s="545"/>
      <c r="M1385" s="561"/>
      <c r="N1385" s="545"/>
      <c r="O1385" s="545"/>
    </row>
    <row r="1386" spans="3:15">
      <c r="C1386" s="537">
        <f>IF(D1351="","-",+C1385+1)</f>
        <v>2055</v>
      </c>
      <c r="D1386" s="495">
        <f t="shared" si="109"/>
        <v>338717.05191088608</v>
      </c>
      <c r="E1386" s="538">
        <f t="shared" si="114"/>
        <v>42785.311820322422</v>
      </c>
      <c r="F1386" s="495">
        <f t="shared" si="110"/>
        <v>295931.74009056366</v>
      </c>
      <c r="G1386" s="543">
        <f t="shared" si="111"/>
        <v>78298.2504029681</v>
      </c>
      <c r="H1386" s="544">
        <f t="shared" si="112"/>
        <v>78298.2504029681</v>
      </c>
      <c r="I1386" s="541">
        <f t="shared" si="113"/>
        <v>0</v>
      </c>
      <c r="J1386" s="541"/>
      <c r="K1386" s="561"/>
      <c r="L1386" s="545"/>
      <c r="M1386" s="561"/>
      <c r="N1386" s="545"/>
      <c r="O1386" s="545"/>
    </row>
    <row r="1387" spans="3:15">
      <c r="C1387" s="537">
        <f>IF(D1351="","-",+C1386+1)</f>
        <v>2056</v>
      </c>
      <c r="D1387" s="495">
        <f t="shared" si="109"/>
        <v>295931.74009056366</v>
      </c>
      <c r="E1387" s="538">
        <f t="shared" si="114"/>
        <v>42785.311820322422</v>
      </c>
      <c r="F1387" s="495">
        <f t="shared" si="110"/>
        <v>253146.42827024125</v>
      </c>
      <c r="G1387" s="543">
        <f t="shared" si="111"/>
        <v>73509.989021038346</v>
      </c>
      <c r="H1387" s="544">
        <f t="shared" si="112"/>
        <v>73509.989021038346</v>
      </c>
      <c r="I1387" s="541">
        <f t="shared" si="113"/>
        <v>0</v>
      </c>
      <c r="J1387" s="541"/>
      <c r="K1387" s="561"/>
      <c r="L1387" s="545"/>
      <c r="M1387" s="561"/>
      <c r="N1387" s="545"/>
      <c r="O1387" s="545"/>
    </row>
    <row r="1388" spans="3:15">
      <c r="C1388" s="537">
        <f>IF(D1351="","-",+C1387+1)</f>
        <v>2057</v>
      </c>
      <c r="D1388" s="495">
        <f t="shared" si="109"/>
        <v>253146.42827024125</v>
      </c>
      <c r="E1388" s="538">
        <f t="shared" si="114"/>
        <v>42785.311820322422</v>
      </c>
      <c r="F1388" s="495">
        <f t="shared" si="110"/>
        <v>210361.11644991883</v>
      </c>
      <c r="G1388" s="543">
        <f t="shared" si="111"/>
        <v>68721.727639108605</v>
      </c>
      <c r="H1388" s="544">
        <f t="shared" si="112"/>
        <v>68721.727639108605</v>
      </c>
      <c r="I1388" s="541">
        <f t="shared" si="113"/>
        <v>0</v>
      </c>
      <c r="J1388" s="541"/>
      <c r="K1388" s="561"/>
      <c r="L1388" s="545"/>
      <c r="M1388" s="561"/>
      <c r="N1388" s="545"/>
      <c r="O1388" s="545"/>
    </row>
    <row r="1389" spans="3:15">
      <c r="C1389" s="537">
        <f>IF(D1351="","-",+C1388+1)</f>
        <v>2058</v>
      </c>
      <c r="D1389" s="495">
        <f t="shared" si="109"/>
        <v>210361.11644991883</v>
      </c>
      <c r="E1389" s="538">
        <f t="shared" si="114"/>
        <v>42785.311820322422</v>
      </c>
      <c r="F1389" s="495">
        <f t="shared" si="110"/>
        <v>167575.80462959642</v>
      </c>
      <c r="G1389" s="543">
        <f t="shared" si="111"/>
        <v>63933.46625717885</v>
      </c>
      <c r="H1389" s="544">
        <f t="shared" si="112"/>
        <v>63933.46625717885</v>
      </c>
      <c r="I1389" s="541">
        <f t="shared" si="113"/>
        <v>0</v>
      </c>
      <c r="J1389" s="541"/>
      <c r="K1389" s="561"/>
      <c r="L1389" s="545"/>
      <c r="M1389" s="561"/>
      <c r="N1389" s="545"/>
      <c r="O1389" s="545"/>
    </row>
    <row r="1390" spans="3:15">
      <c r="C1390" s="537">
        <f>IF(D1351="","-",+C1389+1)</f>
        <v>2059</v>
      </c>
      <c r="D1390" s="495">
        <f t="shared" si="109"/>
        <v>167575.80462959642</v>
      </c>
      <c r="E1390" s="538">
        <f t="shared" si="114"/>
        <v>42785.311820322422</v>
      </c>
      <c r="F1390" s="495">
        <f t="shared" si="110"/>
        <v>124790.492809274</v>
      </c>
      <c r="G1390" s="543">
        <f t="shared" si="111"/>
        <v>59145.204875249103</v>
      </c>
      <c r="H1390" s="544">
        <f t="shared" si="112"/>
        <v>59145.204875249103</v>
      </c>
      <c r="I1390" s="541">
        <f t="shared" si="113"/>
        <v>0</v>
      </c>
      <c r="J1390" s="541"/>
      <c r="K1390" s="561"/>
      <c r="L1390" s="545"/>
      <c r="M1390" s="561"/>
      <c r="N1390" s="545"/>
      <c r="O1390" s="545"/>
    </row>
    <row r="1391" spans="3:15">
      <c r="C1391" s="537">
        <f>IF(D1351="","-",+C1390+1)</f>
        <v>2060</v>
      </c>
      <c r="D1391" s="495">
        <f t="shared" si="109"/>
        <v>124790.492809274</v>
      </c>
      <c r="E1391" s="538">
        <f t="shared" si="114"/>
        <v>42785.311820322422</v>
      </c>
      <c r="F1391" s="495">
        <f t="shared" si="110"/>
        <v>82005.180988951586</v>
      </c>
      <c r="G1391" s="543">
        <f t="shared" si="111"/>
        <v>54356.943493319355</v>
      </c>
      <c r="H1391" s="544">
        <f t="shared" si="112"/>
        <v>54356.943493319355</v>
      </c>
      <c r="I1391" s="541">
        <f t="shared" si="113"/>
        <v>0</v>
      </c>
      <c r="J1391" s="541"/>
      <c r="K1391" s="561"/>
      <c r="L1391" s="545"/>
      <c r="M1391" s="561"/>
      <c r="N1391" s="545"/>
      <c r="O1391" s="545"/>
    </row>
    <row r="1392" spans="3:15">
      <c r="C1392" s="537">
        <f>IF(D1351="","-",+C1391+1)</f>
        <v>2061</v>
      </c>
      <c r="D1392" s="495">
        <f t="shared" si="109"/>
        <v>82005.180988951586</v>
      </c>
      <c r="E1392" s="538">
        <f t="shared" si="114"/>
        <v>42785.311820322422</v>
      </c>
      <c r="F1392" s="495">
        <f t="shared" si="110"/>
        <v>39219.869168629164</v>
      </c>
      <c r="G1392" s="543">
        <f t="shared" si="111"/>
        <v>49568.6821113896</v>
      </c>
      <c r="H1392" s="544">
        <f t="shared" si="112"/>
        <v>49568.6821113896</v>
      </c>
      <c r="I1392" s="541">
        <f t="shared" si="113"/>
        <v>0</v>
      </c>
      <c r="J1392" s="541"/>
      <c r="K1392" s="561"/>
      <c r="L1392" s="545"/>
      <c r="M1392" s="561"/>
      <c r="N1392" s="545"/>
      <c r="O1392" s="545"/>
    </row>
    <row r="1393" spans="3:15">
      <c r="C1393" s="537">
        <f>IF(D1351="","-",+C1392+1)</f>
        <v>2062</v>
      </c>
      <c r="D1393" s="495">
        <f t="shared" si="109"/>
        <v>39219.869168629164</v>
      </c>
      <c r="E1393" s="538">
        <f t="shared" si="114"/>
        <v>39219.869168629164</v>
      </c>
      <c r="F1393" s="495">
        <f t="shared" si="110"/>
        <v>0</v>
      </c>
      <c r="G1393" s="543">
        <f t="shared" si="111"/>
        <v>41414.488968680314</v>
      </c>
      <c r="H1393" s="544">
        <f t="shared" si="112"/>
        <v>41414.488968680314</v>
      </c>
      <c r="I1393" s="541">
        <f t="shared" si="113"/>
        <v>0</v>
      </c>
      <c r="J1393" s="541"/>
      <c r="K1393" s="561"/>
      <c r="L1393" s="545"/>
      <c r="M1393" s="561"/>
      <c r="N1393" s="545"/>
      <c r="O1393" s="545"/>
    </row>
    <row r="1394" spans="3:15">
      <c r="C1394" s="537">
        <f>IF(D1351="","-",+C1393+1)</f>
        <v>2063</v>
      </c>
      <c r="D1394" s="495">
        <f t="shared" si="109"/>
        <v>0</v>
      </c>
      <c r="E1394" s="538">
        <f t="shared" si="114"/>
        <v>0</v>
      </c>
      <c r="F1394" s="495">
        <f t="shared" si="110"/>
        <v>0</v>
      </c>
      <c r="G1394" s="543">
        <f t="shared" si="111"/>
        <v>0</v>
      </c>
      <c r="H1394" s="544">
        <f t="shared" si="112"/>
        <v>0</v>
      </c>
      <c r="I1394" s="541">
        <f t="shared" si="113"/>
        <v>0</v>
      </c>
      <c r="J1394" s="541"/>
      <c r="K1394" s="561"/>
      <c r="L1394" s="545"/>
      <c r="M1394" s="561"/>
      <c r="N1394" s="545"/>
      <c r="O1394" s="545"/>
    </row>
    <row r="1395" spans="3:15">
      <c r="C1395" s="537">
        <f>IF(D1351="","-",+C1394+1)</f>
        <v>2064</v>
      </c>
      <c r="D1395" s="495">
        <f t="shared" si="109"/>
        <v>0</v>
      </c>
      <c r="E1395" s="538">
        <f t="shared" si="114"/>
        <v>0</v>
      </c>
      <c r="F1395" s="495">
        <f t="shared" si="110"/>
        <v>0</v>
      </c>
      <c r="G1395" s="543">
        <f t="shared" si="111"/>
        <v>0</v>
      </c>
      <c r="H1395" s="544">
        <f t="shared" si="112"/>
        <v>0</v>
      </c>
      <c r="I1395" s="541">
        <f t="shared" si="113"/>
        <v>0</v>
      </c>
      <c r="J1395" s="541"/>
      <c r="K1395" s="561"/>
      <c r="L1395" s="545"/>
      <c r="M1395" s="561"/>
      <c r="N1395" s="545"/>
      <c r="O1395" s="545"/>
    </row>
    <row r="1396" spans="3:15">
      <c r="C1396" s="537">
        <f>IF(D1351="","-",+C1395+1)</f>
        <v>2065</v>
      </c>
      <c r="D1396" s="495">
        <f t="shared" si="109"/>
        <v>0</v>
      </c>
      <c r="E1396" s="538">
        <f t="shared" si="114"/>
        <v>0</v>
      </c>
      <c r="F1396" s="495">
        <f t="shared" si="110"/>
        <v>0</v>
      </c>
      <c r="G1396" s="543">
        <f t="shared" si="111"/>
        <v>0</v>
      </c>
      <c r="H1396" s="544">
        <f t="shared" si="112"/>
        <v>0</v>
      </c>
      <c r="I1396" s="541">
        <f t="shared" si="113"/>
        <v>0</v>
      </c>
      <c r="J1396" s="541"/>
      <c r="K1396" s="561"/>
      <c r="L1396" s="545"/>
      <c r="M1396" s="561"/>
      <c r="N1396" s="545"/>
      <c r="O1396" s="545"/>
    </row>
    <row r="1397" spans="3:15">
      <c r="C1397" s="537">
        <f>IF(D1351="","-",+C1396+1)</f>
        <v>2066</v>
      </c>
      <c r="D1397" s="495">
        <f t="shared" si="109"/>
        <v>0</v>
      </c>
      <c r="E1397" s="538">
        <f t="shared" si="114"/>
        <v>0</v>
      </c>
      <c r="F1397" s="495">
        <f t="shared" si="110"/>
        <v>0</v>
      </c>
      <c r="G1397" s="543">
        <f t="shared" si="111"/>
        <v>0</v>
      </c>
      <c r="H1397" s="544">
        <f t="shared" si="112"/>
        <v>0</v>
      </c>
      <c r="I1397" s="541">
        <f t="shared" si="113"/>
        <v>0</v>
      </c>
      <c r="J1397" s="541"/>
      <c r="K1397" s="561"/>
      <c r="L1397" s="545"/>
      <c r="M1397" s="561"/>
      <c r="N1397" s="545"/>
      <c r="O1397" s="545"/>
    </row>
    <row r="1398" spans="3:15">
      <c r="C1398" s="537">
        <f>IF(D1351="","-",+C1397+1)</f>
        <v>2067</v>
      </c>
      <c r="D1398" s="495">
        <f t="shared" si="109"/>
        <v>0</v>
      </c>
      <c r="E1398" s="538">
        <f t="shared" si="114"/>
        <v>0</v>
      </c>
      <c r="F1398" s="495">
        <f t="shared" si="110"/>
        <v>0</v>
      </c>
      <c r="G1398" s="543">
        <f t="shared" si="111"/>
        <v>0</v>
      </c>
      <c r="H1398" s="544">
        <f t="shared" si="112"/>
        <v>0</v>
      </c>
      <c r="I1398" s="541">
        <f t="shared" si="113"/>
        <v>0</v>
      </c>
      <c r="J1398" s="541"/>
      <c r="K1398" s="561"/>
      <c r="L1398" s="545"/>
      <c r="M1398" s="561"/>
      <c r="N1398" s="545"/>
      <c r="O1398" s="545"/>
    </row>
    <row r="1399" spans="3:15">
      <c r="C1399" s="537">
        <f>IF(D1351="","-",+C1398+1)</f>
        <v>2068</v>
      </c>
      <c r="D1399" s="495">
        <f t="shared" si="109"/>
        <v>0</v>
      </c>
      <c r="E1399" s="538">
        <f t="shared" si="114"/>
        <v>0</v>
      </c>
      <c r="F1399" s="495">
        <f t="shared" si="110"/>
        <v>0</v>
      </c>
      <c r="G1399" s="543">
        <f t="shared" si="111"/>
        <v>0</v>
      </c>
      <c r="H1399" s="544">
        <f t="shared" si="112"/>
        <v>0</v>
      </c>
      <c r="I1399" s="541">
        <f t="shared" si="113"/>
        <v>0</v>
      </c>
      <c r="J1399" s="541"/>
      <c r="K1399" s="561"/>
      <c r="L1399" s="545"/>
      <c r="M1399" s="561"/>
      <c r="N1399" s="545"/>
      <c r="O1399" s="545"/>
    </row>
    <row r="1400" spans="3:15">
      <c r="C1400" s="537">
        <f>IF(D1351="","-",+C1399+1)</f>
        <v>2069</v>
      </c>
      <c r="D1400" s="495">
        <f t="shared" si="109"/>
        <v>0</v>
      </c>
      <c r="E1400" s="538">
        <f t="shared" si="114"/>
        <v>0</v>
      </c>
      <c r="F1400" s="495">
        <f t="shared" si="110"/>
        <v>0</v>
      </c>
      <c r="G1400" s="543">
        <f t="shared" si="111"/>
        <v>0</v>
      </c>
      <c r="H1400" s="544">
        <f t="shared" si="112"/>
        <v>0</v>
      </c>
      <c r="I1400" s="541">
        <f t="shared" si="113"/>
        <v>0</v>
      </c>
      <c r="J1400" s="541"/>
      <c r="K1400" s="561"/>
      <c r="L1400" s="545"/>
      <c r="M1400" s="561"/>
      <c r="N1400" s="545"/>
      <c r="O1400" s="545"/>
    </row>
    <row r="1401" spans="3:15">
      <c r="C1401" s="537">
        <f>IF(D1351="","-",+C1400+1)</f>
        <v>2070</v>
      </c>
      <c r="D1401" s="495">
        <f t="shared" si="109"/>
        <v>0</v>
      </c>
      <c r="E1401" s="538">
        <f t="shared" si="114"/>
        <v>0</v>
      </c>
      <c r="F1401" s="495">
        <f t="shared" si="110"/>
        <v>0</v>
      </c>
      <c r="G1401" s="543">
        <f t="shared" si="111"/>
        <v>0</v>
      </c>
      <c r="H1401" s="544">
        <f t="shared" si="112"/>
        <v>0</v>
      </c>
      <c r="I1401" s="541">
        <f t="shared" si="113"/>
        <v>0</v>
      </c>
      <c r="J1401" s="541"/>
      <c r="K1401" s="561"/>
      <c r="L1401" s="545"/>
      <c r="M1401" s="561"/>
      <c r="N1401" s="545"/>
      <c r="O1401" s="545"/>
    </row>
    <row r="1402" spans="3:15">
      <c r="C1402" s="537">
        <f>IF(D1351="","-",+C1401+1)</f>
        <v>2071</v>
      </c>
      <c r="D1402" s="495">
        <f t="shared" si="109"/>
        <v>0</v>
      </c>
      <c r="E1402" s="538">
        <f t="shared" si="114"/>
        <v>0</v>
      </c>
      <c r="F1402" s="495">
        <f t="shared" si="110"/>
        <v>0</v>
      </c>
      <c r="G1402" s="543">
        <f t="shared" si="111"/>
        <v>0</v>
      </c>
      <c r="H1402" s="544">
        <f t="shared" si="112"/>
        <v>0</v>
      </c>
      <c r="I1402" s="541">
        <f t="shared" si="113"/>
        <v>0</v>
      </c>
      <c r="J1402" s="541"/>
      <c r="K1402" s="561"/>
      <c r="L1402" s="545"/>
      <c r="M1402" s="561"/>
      <c r="N1402" s="545"/>
      <c r="O1402" s="545"/>
    </row>
    <row r="1403" spans="3:15">
      <c r="C1403" s="537">
        <f>IF(D1351="","-",+C1402+1)</f>
        <v>2072</v>
      </c>
      <c r="D1403" s="495">
        <f t="shared" si="109"/>
        <v>0</v>
      </c>
      <c r="E1403" s="538">
        <f t="shared" si="114"/>
        <v>0</v>
      </c>
      <c r="F1403" s="495">
        <f t="shared" si="110"/>
        <v>0</v>
      </c>
      <c r="G1403" s="543">
        <f t="shared" si="111"/>
        <v>0</v>
      </c>
      <c r="H1403" s="544">
        <f t="shared" si="112"/>
        <v>0</v>
      </c>
      <c r="I1403" s="541">
        <f t="shared" si="113"/>
        <v>0</v>
      </c>
      <c r="J1403" s="541"/>
      <c r="K1403" s="561"/>
      <c r="L1403" s="545"/>
      <c r="M1403" s="561"/>
      <c r="N1403" s="545"/>
      <c r="O1403" s="545"/>
    </row>
    <row r="1404" spans="3:15">
      <c r="C1404" s="537">
        <f>IF(D1351="","-",+C1403+1)</f>
        <v>2073</v>
      </c>
      <c r="D1404" s="495">
        <f t="shared" si="109"/>
        <v>0</v>
      </c>
      <c r="E1404" s="538">
        <f t="shared" si="114"/>
        <v>0</v>
      </c>
      <c r="F1404" s="495">
        <f t="shared" si="110"/>
        <v>0</v>
      </c>
      <c r="G1404" s="543">
        <f t="shared" si="111"/>
        <v>0</v>
      </c>
      <c r="H1404" s="544">
        <f t="shared" si="112"/>
        <v>0</v>
      </c>
      <c r="I1404" s="541">
        <f t="shared" si="113"/>
        <v>0</v>
      </c>
      <c r="J1404" s="541"/>
      <c r="K1404" s="561"/>
      <c r="L1404" s="545"/>
      <c r="M1404" s="561"/>
      <c r="N1404" s="545"/>
      <c r="O1404" s="545"/>
    </row>
    <row r="1405" spans="3:15">
      <c r="C1405" s="537">
        <f>IF(D1351="","-",+C1404+1)</f>
        <v>2074</v>
      </c>
      <c r="D1405" s="495">
        <f t="shared" si="109"/>
        <v>0</v>
      </c>
      <c r="E1405" s="538">
        <f t="shared" si="114"/>
        <v>0</v>
      </c>
      <c r="F1405" s="495">
        <f t="shared" si="110"/>
        <v>0</v>
      </c>
      <c r="G1405" s="543">
        <f t="shared" si="111"/>
        <v>0</v>
      </c>
      <c r="H1405" s="544">
        <f t="shared" si="112"/>
        <v>0</v>
      </c>
      <c r="I1405" s="541">
        <f t="shared" si="113"/>
        <v>0</v>
      </c>
      <c r="J1405" s="541"/>
      <c r="K1405" s="561"/>
      <c r="L1405" s="545"/>
      <c r="M1405" s="561"/>
      <c r="N1405" s="545"/>
      <c r="O1405" s="545"/>
    </row>
    <row r="1406" spans="3:15">
      <c r="C1406" s="537">
        <f>IF(D1351="","-",+C1405+1)</f>
        <v>2075</v>
      </c>
      <c r="D1406" s="495">
        <f t="shared" si="109"/>
        <v>0</v>
      </c>
      <c r="E1406" s="538">
        <f t="shared" si="114"/>
        <v>0</v>
      </c>
      <c r="F1406" s="495">
        <f t="shared" si="110"/>
        <v>0</v>
      </c>
      <c r="G1406" s="543">
        <f t="shared" si="111"/>
        <v>0</v>
      </c>
      <c r="H1406" s="544">
        <f t="shared" si="112"/>
        <v>0</v>
      </c>
      <c r="I1406" s="541">
        <f t="shared" si="113"/>
        <v>0</v>
      </c>
      <c r="J1406" s="541"/>
      <c r="K1406" s="561"/>
      <c r="L1406" s="545"/>
      <c r="M1406" s="561"/>
      <c r="N1406" s="545"/>
      <c r="O1406" s="545"/>
    </row>
    <row r="1407" spans="3:15">
      <c r="C1407" s="537">
        <f>IF(D1351="","-",+C1406+1)</f>
        <v>2076</v>
      </c>
      <c r="D1407" s="495">
        <f t="shared" si="109"/>
        <v>0</v>
      </c>
      <c r="E1407" s="538">
        <f t="shared" si="114"/>
        <v>0</v>
      </c>
      <c r="F1407" s="495">
        <f t="shared" si="110"/>
        <v>0</v>
      </c>
      <c r="G1407" s="543">
        <f t="shared" si="111"/>
        <v>0</v>
      </c>
      <c r="H1407" s="544">
        <f t="shared" si="112"/>
        <v>0</v>
      </c>
      <c r="I1407" s="541">
        <f t="shared" si="113"/>
        <v>0</v>
      </c>
      <c r="J1407" s="541"/>
      <c r="K1407" s="561"/>
      <c r="L1407" s="545"/>
      <c r="M1407" s="561"/>
      <c r="N1407" s="545"/>
      <c r="O1407" s="545"/>
    </row>
    <row r="1408" spans="3:15">
      <c r="C1408" s="537">
        <f>IF(D1351="","-",+C1407+1)</f>
        <v>2077</v>
      </c>
      <c r="D1408" s="495">
        <f t="shared" si="109"/>
        <v>0</v>
      </c>
      <c r="E1408" s="538">
        <f t="shared" si="114"/>
        <v>0</v>
      </c>
      <c r="F1408" s="495">
        <f t="shared" si="110"/>
        <v>0</v>
      </c>
      <c r="G1408" s="543">
        <f t="shared" si="111"/>
        <v>0</v>
      </c>
      <c r="H1408" s="544">
        <f t="shared" si="112"/>
        <v>0</v>
      </c>
      <c r="I1408" s="541">
        <f t="shared" si="113"/>
        <v>0</v>
      </c>
      <c r="J1408" s="541"/>
      <c r="K1408" s="561"/>
      <c r="L1408" s="545"/>
      <c r="M1408" s="561"/>
      <c r="N1408" s="545"/>
      <c r="O1408" s="545"/>
    </row>
    <row r="1409" spans="3:15">
      <c r="C1409" s="537">
        <f>IF(D1351="","-",+C1408+1)</f>
        <v>2078</v>
      </c>
      <c r="D1409" s="495">
        <f t="shared" si="109"/>
        <v>0</v>
      </c>
      <c r="E1409" s="538">
        <f t="shared" si="114"/>
        <v>0</v>
      </c>
      <c r="F1409" s="495">
        <f t="shared" si="110"/>
        <v>0</v>
      </c>
      <c r="G1409" s="543">
        <f t="shared" si="111"/>
        <v>0</v>
      </c>
      <c r="H1409" s="544">
        <f t="shared" si="112"/>
        <v>0</v>
      </c>
      <c r="I1409" s="541">
        <f t="shared" si="113"/>
        <v>0</v>
      </c>
      <c r="J1409" s="541"/>
      <c r="K1409" s="561"/>
      <c r="L1409" s="545"/>
      <c r="M1409" s="561"/>
      <c r="N1409" s="545"/>
      <c r="O1409" s="545"/>
    </row>
    <row r="1410" spans="3:15">
      <c r="C1410" s="537">
        <f>IF(D1351="","-",+C1409+1)</f>
        <v>2079</v>
      </c>
      <c r="D1410" s="495">
        <f t="shared" si="109"/>
        <v>0</v>
      </c>
      <c r="E1410" s="538">
        <f t="shared" si="114"/>
        <v>0</v>
      </c>
      <c r="F1410" s="495">
        <f t="shared" si="110"/>
        <v>0</v>
      </c>
      <c r="G1410" s="543">
        <f t="shared" si="111"/>
        <v>0</v>
      </c>
      <c r="H1410" s="544">
        <f t="shared" si="112"/>
        <v>0</v>
      </c>
      <c r="I1410" s="541">
        <f t="shared" si="113"/>
        <v>0</v>
      </c>
      <c r="J1410" s="541"/>
      <c r="K1410" s="561"/>
      <c r="L1410" s="545"/>
      <c r="M1410" s="561"/>
      <c r="N1410" s="545"/>
      <c r="O1410" s="545"/>
    </row>
    <row r="1411" spans="3:15">
      <c r="C1411" s="537">
        <f>IF(D1351="","-",+C1410+1)</f>
        <v>2080</v>
      </c>
      <c r="D1411" s="495">
        <f t="shared" si="109"/>
        <v>0</v>
      </c>
      <c r="E1411" s="538">
        <f t="shared" si="114"/>
        <v>0</v>
      </c>
      <c r="F1411" s="495">
        <f t="shared" si="110"/>
        <v>0</v>
      </c>
      <c r="G1411" s="543">
        <f t="shared" si="111"/>
        <v>0</v>
      </c>
      <c r="H1411" s="544">
        <f t="shared" si="112"/>
        <v>0</v>
      </c>
      <c r="I1411" s="541">
        <f t="shared" si="113"/>
        <v>0</v>
      </c>
      <c r="J1411" s="541"/>
      <c r="K1411" s="561"/>
      <c r="L1411" s="545"/>
      <c r="M1411" s="561"/>
      <c r="N1411" s="545"/>
      <c r="O1411" s="545"/>
    </row>
    <row r="1412" spans="3:15">
      <c r="C1412" s="537">
        <f>IF(D1351="","-",+C1411+1)</f>
        <v>2081</v>
      </c>
      <c r="D1412" s="495">
        <f t="shared" si="109"/>
        <v>0</v>
      </c>
      <c r="E1412" s="538">
        <f t="shared" si="114"/>
        <v>0</v>
      </c>
      <c r="F1412" s="495">
        <f t="shared" si="110"/>
        <v>0</v>
      </c>
      <c r="G1412" s="543">
        <f t="shared" si="111"/>
        <v>0</v>
      </c>
      <c r="H1412" s="544">
        <f t="shared" si="112"/>
        <v>0</v>
      </c>
      <c r="I1412" s="541">
        <f t="shared" si="113"/>
        <v>0</v>
      </c>
      <c r="J1412" s="541"/>
      <c r="K1412" s="561"/>
      <c r="L1412" s="545"/>
      <c r="M1412" s="561"/>
      <c r="N1412" s="545"/>
      <c r="O1412" s="545"/>
    </row>
    <row r="1413" spans="3:15">
      <c r="C1413" s="537">
        <f>IF(D1351="","-",+C1412+1)</f>
        <v>2082</v>
      </c>
      <c r="D1413" s="495">
        <f t="shared" si="109"/>
        <v>0</v>
      </c>
      <c r="E1413" s="538">
        <f t="shared" si="114"/>
        <v>0</v>
      </c>
      <c r="F1413" s="495">
        <f t="shared" si="110"/>
        <v>0</v>
      </c>
      <c r="G1413" s="543">
        <f t="shared" si="111"/>
        <v>0</v>
      </c>
      <c r="H1413" s="544">
        <f t="shared" si="112"/>
        <v>0</v>
      </c>
      <c r="I1413" s="541">
        <f t="shared" si="113"/>
        <v>0</v>
      </c>
      <c r="J1413" s="541"/>
      <c r="K1413" s="561"/>
      <c r="L1413" s="545"/>
      <c r="M1413" s="561"/>
      <c r="N1413" s="545"/>
      <c r="O1413" s="545"/>
    </row>
    <row r="1414" spans="3:15">
      <c r="C1414" s="537">
        <f>IF(D1351="","-",+C1413+1)</f>
        <v>2083</v>
      </c>
      <c r="D1414" s="495">
        <f t="shared" si="109"/>
        <v>0</v>
      </c>
      <c r="E1414" s="538">
        <f t="shared" si="114"/>
        <v>0</v>
      </c>
      <c r="F1414" s="495">
        <f t="shared" si="110"/>
        <v>0</v>
      </c>
      <c r="G1414" s="543">
        <f t="shared" si="111"/>
        <v>0</v>
      </c>
      <c r="H1414" s="544">
        <f t="shared" si="112"/>
        <v>0</v>
      </c>
      <c r="I1414" s="541">
        <f t="shared" si="113"/>
        <v>0</v>
      </c>
      <c r="J1414" s="541"/>
      <c r="K1414" s="561"/>
      <c r="L1414" s="545"/>
      <c r="M1414" s="561"/>
      <c r="N1414" s="545"/>
      <c r="O1414" s="545"/>
    </row>
    <row r="1415" spans="3:15">
      <c r="C1415" s="537">
        <f>IF(D1351="","-",+C1414+1)</f>
        <v>2084</v>
      </c>
      <c r="D1415" s="495">
        <f t="shared" si="109"/>
        <v>0</v>
      </c>
      <c r="E1415" s="538">
        <f t="shared" si="114"/>
        <v>0</v>
      </c>
      <c r="F1415" s="495">
        <f t="shared" si="110"/>
        <v>0</v>
      </c>
      <c r="G1415" s="543">
        <f t="shared" si="111"/>
        <v>0</v>
      </c>
      <c r="H1415" s="544">
        <f t="shared" si="112"/>
        <v>0</v>
      </c>
      <c r="I1415" s="541">
        <f t="shared" si="113"/>
        <v>0</v>
      </c>
      <c r="J1415" s="541"/>
      <c r="K1415" s="561"/>
      <c r="L1415" s="545"/>
      <c r="M1415" s="561"/>
      <c r="N1415" s="545"/>
      <c r="O1415" s="545"/>
    </row>
    <row r="1416" spans="3:15" ht="13.5" thickBot="1">
      <c r="C1416" s="547">
        <f>IF(D1351="","-",+C1415+1)</f>
        <v>2085</v>
      </c>
      <c r="D1416" s="548">
        <f t="shared" si="109"/>
        <v>0</v>
      </c>
      <c r="E1416" s="538">
        <f t="shared" si="114"/>
        <v>0</v>
      </c>
      <c r="F1416" s="548">
        <f t="shared" si="110"/>
        <v>0</v>
      </c>
      <c r="G1416" s="550">
        <f t="shared" si="111"/>
        <v>0</v>
      </c>
      <c r="H1416" s="550">
        <f t="shared" si="112"/>
        <v>0</v>
      </c>
      <c r="I1416" s="551">
        <f t="shared" si="113"/>
        <v>0</v>
      </c>
      <c r="J1416" s="541"/>
      <c r="K1416" s="562"/>
      <c r="L1416" s="552"/>
      <c r="M1416" s="562"/>
      <c r="N1416" s="552"/>
      <c r="O1416" s="552"/>
    </row>
    <row r="1417" spans="3:15">
      <c r="C1417" s="495" t="s">
        <v>91</v>
      </c>
      <c r="D1417" s="492"/>
      <c r="E1417" s="1063">
        <f>SUM(E1357:E1416)</f>
        <v>1540271.2255316074</v>
      </c>
      <c r="F1417" s="492"/>
      <c r="G1417" s="492">
        <f>SUM(G1357:G1416)</f>
        <v>4801077.2266257741</v>
      </c>
      <c r="H1417" s="492">
        <f>SUM(H1357:H1416)</f>
        <v>4801077.2266257741</v>
      </c>
      <c r="I1417" s="492">
        <f>SUM(I1357:I1416)</f>
        <v>0</v>
      </c>
      <c r="J1417" s="492"/>
      <c r="K1417" s="492"/>
      <c r="L1417" s="492"/>
      <c r="M1417" s="492"/>
      <c r="N1417" s="492"/>
      <c r="O1417" s="3"/>
    </row>
    <row r="1418" spans="3:15">
      <c r="D1418" s="47"/>
      <c r="E1418" s="3"/>
      <c r="F1418" s="3"/>
      <c r="G1418" s="3"/>
      <c r="H1418" s="479"/>
      <c r="I1418" s="479"/>
      <c r="J1418" s="492"/>
      <c r="K1418" s="479"/>
      <c r="L1418" s="479"/>
      <c r="M1418" s="479"/>
      <c r="N1418" s="479"/>
      <c r="O1418" s="3"/>
    </row>
    <row r="1419" spans="3:15">
      <c r="C1419" s="3" t="s">
        <v>13</v>
      </c>
      <c r="D1419" s="47"/>
      <c r="E1419" s="3"/>
      <c r="F1419" s="3"/>
      <c r="G1419" s="3"/>
      <c r="H1419" s="479"/>
      <c r="I1419" s="479"/>
      <c r="J1419" s="492"/>
      <c r="K1419" s="479"/>
      <c r="L1419" s="479"/>
      <c r="M1419" s="479"/>
      <c r="N1419" s="479"/>
      <c r="O1419" s="3"/>
    </row>
    <row r="1420" spans="3:15">
      <c r="C1420" s="3"/>
      <c r="D1420" s="47"/>
      <c r="E1420" s="3"/>
      <c r="F1420" s="3"/>
      <c r="G1420" s="3"/>
      <c r="H1420" s="479"/>
      <c r="I1420" s="479"/>
      <c r="J1420" s="492"/>
      <c r="K1420" s="479"/>
      <c r="L1420" s="479"/>
      <c r="M1420" s="479"/>
      <c r="N1420" s="479"/>
      <c r="O1420" s="3"/>
    </row>
    <row r="1421" spans="3:15">
      <c r="C1421" s="507" t="s">
        <v>14</v>
      </c>
      <c r="D1421" s="495"/>
      <c r="E1421" s="495"/>
      <c r="F1421" s="495"/>
      <c r="G1421" s="492"/>
      <c r="H1421" s="492"/>
      <c r="I1421" s="553"/>
      <c r="J1421" s="553"/>
      <c r="K1421" s="553"/>
      <c r="L1421" s="553"/>
      <c r="M1421" s="553"/>
      <c r="N1421" s="553"/>
      <c r="O1421" s="3"/>
    </row>
    <row r="1422" spans="3:15">
      <c r="C1422" s="496" t="s">
        <v>271</v>
      </c>
      <c r="D1422" s="495"/>
      <c r="E1422" s="495"/>
      <c r="F1422" s="495"/>
      <c r="G1422" s="492"/>
      <c r="H1422" s="492"/>
      <c r="I1422" s="553"/>
      <c r="J1422" s="553"/>
      <c r="K1422" s="553"/>
      <c r="L1422" s="553"/>
      <c r="M1422" s="553"/>
      <c r="N1422" s="553"/>
      <c r="O1422" s="3"/>
    </row>
    <row r="1423" spans="3:15">
      <c r="C1423" s="496" t="s">
        <v>92</v>
      </c>
      <c r="D1423" s="495"/>
      <c r="E1423" s="495"/>
      <c r="F1423" s="495"/>
      <c r="G1423" s="492"/>
      <c r="H1423" s="492"/>
      <c r="I1423" s="553"/>
      <c r="J1423" s="553"/>
      <c r="K1423" s="553"/>
      <c r="L1423" s="553"/>
      <c r="M1423" s="553"/>
      <c r="N1423" s="553"/>
      <c r="O1423" s="3"/>
    </row>
    <row r="1424" spans="3:15">
      <c r="C1424" s="496"/>
      <c r="D1424" s="495"/>
      <c r="E1424" s="495"/>
      <c r="F1424" s="495"/>
      <c r="G1424" s="492"/>
      <c r="H1424" s="492"/>
      <c r="I1424" s="553"/>
      <c r="J1424" s="553"/>
      <c r="K1424" s="553"/>
      <c r="L1424" s="553"/>
      <c r="M1424" s="553"/>
      <c r="N1424" s="553"/>
      <c r="O1424" s="3"/>
    </row>
    <row r="1425" spans="3:15">
      <c r="C1425" s="1185" t="s">
        <v>6</v>
      </c>
      <c r="D1425" s="1185"/>
      <c r="E1425" s="1185"/>
      <c r="F1425" s="1185"/>
      <c r="G1425" s="1185"/>
      <c r="H1425" s="1185"/>
      <c r="I1425" s="1185"/>
      <c r="J1425" s="1185"/>
      <c r="K1425" s="1185"/>
      <c r="L1425" s="1185"/>
      <c r="M1425" s="1185"/>
      <c r="N1425" s="1185"/>
      <c r="O1425" s="1185"/>
    </row>
    <row r="1426" spans="3:15">
      <c r="C1426" s="1185"/>
      <c r="D1426" s="1185"/>
      <c r="E1426" s="1185"/>
      <c r="F1426" s="1185"/>
      <c r="G1426" s="1185"/>
      <c r="H1426" s="1185"/>
      <c r="I1426" s="1185"/>
      <c r="J1426" s="1185"/>
      <c r="K1426" s="1185"/>
      <c r="L1426" s="1185"/>
      <c r="M1426" s="1185"/>
      <c r="N1426" s="1185"/>
      <c r="O1426" s="1185"/>
    </row>
  </sheetData>
  <mergeCells count="51">
    <mergeCell ref="D1346:I1347"/>
    <mergeCell ref="K1350:O1350"/>
    <mergeCell ref="C1425:O1426"/>
    <mergeCell ref="C1065:O1066"/>
    <mergeCell ref="C705:O706"/>
    <mergeCell ref="D895:I896"/>
    <mergeCell ref="K899:O899"/>
    <mergeCell ref="C1335:O1336"/>
    <mergeCell ref="K1260:O1260"/>
    <mergeCell ref="D1256:I1257"/>
    <mergeCell ref="C1245:O1246"/>
    <mergeCell ref="K1170:O1170"/>
    <mergeCell ref="C974:O975"/>
    <mergeCell ref="C883:O884"/>
    <mergeCell ref="D715:I716"/>
    <mergeCell ref="K719:O719"/>
    <mergeCell ref="C259:O260"/>
    <mergeCell ref="D180:I181"/>
    <mergeCell ref="D269:I270"/>
    <mergeCell ref="K273:O273"/>
    <mergeCell ref="K452:O452"/>
    <mergeCell ref="C348:O349"/>
    <mergeCell ref="D358:I359"/>
    <mergeCell ref="K362:O362"/>
    <mergeCell ref="C437:O438"/>
    <mergeCell ref="D448:I449"/>
    <mergeCell ref="K184:O184"/>
    <mergeCell ref="D1166:I1167"/>
    <mergeCell ref="D1076:I1077"/>
    <mergeCell ref="K1080:O1080"/>
    <mergeCell ref="C1155:O1156"/>
    <mergeCell ref="C527:O528"/>
    <mergeCell ref="D537:I538"/>
    <mergeCell ref="K541:O541"/>
    <mergeCell ref="C616:O617"/>
    <mergeCell ref="D626:I627"/>
    <mergeCell ref="K630:O630"/>
    <mergeCell ref="D986:I987"/>
    <mergeCell ref="K990:O990"/>
    <mergeCell ref="C794:O795"/>
    <mergeCell ref="D804:I805"/>
    <mergeCell ref="K808:O808"/>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19" priority="86" stopIfTrue="1" operator="equal">
      <formula>$I$92</formula>
    </cfRule>
  </conditionalFormatting>
  <conditionalFormatting sqref="C191:C250">
    <cfRule type="cellIs" dxfId="18" priority="17" stopIfTrue="1" operator="equal">
      <formula>$I$92</formula>
    </cfRule>
  </conditionalFormatting>
  <conditionalFormatting sqref="C280:C339">
    <cfRule type="cellIs" dxfId="17" priority="16" stopIfTrue="1" operator="equal">
      <formula>$I$92</formula>
    </cfRule>
  </conditionalFormatting>
  <conditionalFormatting sqref="C369:C428">
    <cfRule type="cellIs" dxfId="16" priority="15" stopIfTrue="1" operator="equal">
      <formula>$I$92</formula>
    </cfRule>
  </conditionalFormatting>
  <conditionalFormatting sqref="C459:C518">
    <cfRule type="cellIs" dxfId="15" priority="14" stopIfTrue="1" operator="equal">
      <formula>$I$92</formula>
    </cfRule>
  </conditionalFormatting>
  <conditionalFormatting sqref="C548:C607">
    <cfRule type="cellIs" dxfId="14" priority="13" stopIfTrue="1" operator="equal">
      <formula>$I$92</formula>
    </cfRule>
  </conditionalFormatting>
  <conditionalFormatting sqref="C637:C696">
    <cfRule type="cellIs" dxfId="13" priority="12" stopIfTrue="1" operator="equal">
      <formula>$I$92</formula>
    </cfRule>
  </conditionalFormatting>
  <conditionalFormatting sqref="C726:C785">
    <cfRule type="cellIs" dxfId="12" priority="11" stopIfTrue="1" operator="equal">
      <formula>$I$92</formula>
    </cfRule>
  </conditionalFormatting>
  <conditionalFormatting sqref="C815:C874">
    <cfRule type="cellIs" dxfId="11" priority="10" stopIfTrue="1" operator="equal">
      <formula>$I$92</formula>
    </cfRule>
  </conditionalFormatting>
  <conditionalFormatting sqref="C906:C965">
    <cfRule type="cellIs" dxfId="10" priority="9" stopIfTrue="1" operator="equal">
      <formula>$I$92</formula>
    </cfRule>
  </conditionalFormatting>
  <conditionalFormatting sqref="C997:C1056">
    <cfRule type="cellIs" dxfId="9" priority="8" stopIfTrue="1" operator="equal">
      <formula>$I$92</formula>
    </cfRule>
  </conditionalFormatting>
  <conditionalFormatting sqref="C1087:C1146">
    <cfRule type="cellIs" dxfId="8" priority="7" stopIfTrue="1" operator="equal">
      <formula>$I$92</formula>
    </cfRule>
  </conditionalFormatting>
  <conditionalFormatting sqref="C1177:C1236">
    <cfRule type="cellIs" dxfId="7" priority="6" stopIfTrue="1" operator="equal">
      <formula>$I$92</formula>
    </cfRule>
  </conditionalFormatting>
  <conditionalFormatting sqref="C1267:C1326">
    <cfRule type="cellIs" dxfId="6" priority="4" stopIfTrue="1" operator="equal">
      <formula>$I$92</formula>
    </cfRule>
  </conditionalFormatting>
  <conditionalFormatting sqref="C1357:C1416">
    <cfRule type="cellIs" dxfId="5" priority="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5" manualBreakCount="15">
    <brk id="80" max="14" man="1"/>
    <brk id="171" max="14" man="1"/>
    <brk id="260" max="14" man="1"/>
    <brk id="349" max="14" man="1"/>
    <brk id="439" max="14" man="1"/>
    <brk id="528" max="14" man="1"/>
    <brk id="617" max="14" man="1"/>
    <brk id="706" max="14" man="1"/>
    <brk id="795" max="14" man="1"/>
    <brk id="886" max="14" man="1"/>
    <brk id="977" max="14" man="1"/>
    <brk id="1067" max="14" man="1"/>
    <brk id="1157" max="14" man="1"/>
    <brk id="1247" max="14" man="1"/>
    <brk id="1337"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Q166"/>
  <sheetViews>
    <sheetView view="pageBreakPreview" zoomScale="70" zoomScaleNormal="70" zoomScaleSheetLayoutView="70" workbookViewId="0"/>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30"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12" t="s">
        <v>634</v>
      </c>
    </row>
    <row r="2" spans="1:17" ht="15.75">
      <c r="A2" s="712" t="s">
        <v>635</v>
      </c>
    </row>
    <row r="3" spans="1:17"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139" t="str">
        <f>TCOS!$F$5</f>
        <v>AEPTCo subsidiaries in PJM</v>
      </c>
      <c r="K3" s="1139" t="str">
        <f>TCOS!$F$5</f>
        <v>AEPTCo subsidiaries in PJM</v>
      </c>
      <c r="L3" s="1139" t="str">
        <f>TCOS!$F$5</f>
        <v>AEPTCo subsidiaries in PJM</v>
      </c>
      <c r="M3" s="1139" t="str">
        <f>TCOS!$F$5</f>
        <v>AEPTCo subsidiaries in PJM</v>
      </c>
      <c r="N3" s="1139" t="str">
        <f>TCOS!$F$5</f>
        <v>AEPTCo subsidiaries in PJM</v>
      </c>
      <c r="O3" s="1139" t="str">
        <f>TCOS!$F$5</f>
        <v>AEPTCo subsidiaries in PJM</v>
      </c>
      <c r="P3" s="1139" t="str">
        <f>TCOS!$F$5</f>
        <v>AEPTCo subsidiaries in PJM</v>
      </c>
    </row>
    <row r="4" spans="1:17" ht="15">
      <c r="A4" s="1140" t="str">
        <f>"Cost of Service Formula Rate Using Actual/Projected FF1 Balances"</f>
        <v>Cost of Service Formula Rate Using Actual/Projected FF1 Balances</v>
      </c>
      <c r="B4" s="1140"/>
      <c r="C4" s="1140"/>
      <c r="D4" s="1140"/>
      <c r="E4" s="1140"/>
      <c r="F4" s="1140"/>
      <c r="G4" s="1140"/>
      <c r="H4" s="1140"/>
      <c r="I4" s="1140"/>
      <c r="J4" s="1140"/>
      <c r="K4" s="1140"/>
      <c r="L4" s="1140"/>
      <c r="M4" s="1140"/>
      <c r="N4" s="1140"/>
      <c r="O4" s="1140"/>
      <c r="P4" s="1140"/>
    </row>
    <row r="5" spans="1:17" ht="15">
      <c r="A5" s="1140" t="s">
        <v>265</v>
      </c>
      <c r="B5" s="1140"/>
      <c r="C5" s="1140"/>
      <c r="D5" s="1140"/>
      <c r="E5" s="1140"/>
      <c r="F5" s="1140"/>
      <c r="G5" s="1140"/>
      <c r="H5" s="1140"/>
      <c r="I5" s="1140"/>
      <c r="J5" s="1140"/>
      <c r="K5" s="1140"/>
      <c r="L5" s="1140"/>
      <c r="M5" s="1140"/>
      <c r="N5" s="1140"/>
      <c r="O5" s="1140"/>
      <c r="P5" s="1140"/>
    </row>
    <row r="6" spans="1:17" ht="15">
      <c r="A6" s="1151" t="str">
        <f>TCOS!F9</f>
        <v>AEP Indiana Michigan Transmission Company</v>
      </c>
      <c r="B6" s="1151"/>
      <c r="C6" s="1151"/>
      <c r="D6" s="1151"/>
      <c r="E6" s="1151"/>
      <c r="F6" s="1151"/>
      <c r="G6" s="1151"/>
      <c r="H6" s="1151"/>
      <c r="I6" s="1151"/>
      <c r="J6" s="1151"/>
      <c r="K6" s="1151"/>
      <c r="L6" s="1151"/>
      <c r="M6" s="1151"/>
      <c r="N6" s="1151"/>
      <c r="O6" s="1151"/>
      <c r="P6" s="1151"/>
    </row>
    <row r="8" spans="1:17" ht="20.25">
      <c r="A8" s="436"/>
      <c r="O8" s="387" t="str">
        <f>"Page "&amp;Q8&amp;" of "</f>
        <v xml:space="preserve">Page 1 of </v>
      </c>
      <c r="P8" s="437">
        <f>COUNT(Q$8:Q$57702)</f>
        <v>2</v>
      </c>
      <c r="Q8" s="387">
        <v>1</v>
      </c>
    </row>
    <row r="9" spans="1:17" ht="18">
      <c r="C9" s="6"/>
    </row>
    <row r="11" spans="1:17" ht="18">
      <c r="B11" s="438" t="s">
        <v>469</v>
      </c>
      <c r="C11" s="1187" t="str">
        <f>"Calculate Return and Income Taxes with "&amp;F17&amp;" basis point ROE increase for Projects Qualified for Regional Billing."</f>
        <v>Calculate Return and Income Taxes with 0 basis point ROE increase for Projects Qualified for Regional Billing.</v>
      </c>
      <c r="D11" s="1188"/>
      <c r="E11" s="1188"/>
      <c r="F11" s="1188"/>
      <c r="G11" s="1188"/>
      <c r="H11" s="1188"/>
      <c r="I11" s="1188"/>
    </row>
    <row r="12" spans="1:17" ht="18.75" customHeight="1">
      <c r="C12" s="1188"/>
      <c r="D12" s="1188"/>
      <c r="E12" s="1188"/>
      <c r="F12" s="1188"/>
      <c r="G12" s="1188"/>
      <c r="H12" s="1188"/>
      <c r="I12" s="1188"/>
    </row>
    <row r="13" spans="1:17" ht="15.75" customHeight="1">
      <c r="C13" s="439"/>
      <c r="D13" s="439"/>
      <c r="E13" s="439"/>
      <c r="F13" s="439"/>
      <c r="G13" s="439"/>
      <c r="H13" s="439"/>
      <c r="I13" s="439"/>
    </row>
    <row r="14" spans="1:17" ht="15.75">
      <c r="C14" s="440" t="str">
        <f>"A.   Determine 'R' with hypothetical "&amp;F17&amp;" basis point increase in ROE for Identified Projects"</f>
        <v>A.   Determine 'R' with hypothetical 0 basis point increase in ROE for Identified Projects</v>
      </c>
      <c r="D14" s="159"/>
    </row>
    <row r="15" spans="1:17">
      <c r="C15" s="41"/>
      <c r="D15" s="159"/>
    </row>
    <row r="16" spans="1:17">
      <c r="C16" s="441" t="str">
        <f>"   ROE w/o incentives  (TCOS, ln "&amp;TCOS!B251&amp;")"</f>
        <v xml:space="preserve">   ROE w/o incentives  (TCOS, ln 138)</v>
      </c>
      <c r="D16" s="159"/>
      <c r="E16" s="442"/>
      <c r="F16" s="563">
        <f>TCOS!J251</f>
        <v>0.10349999999999999</v>
      </c>
      <c r="G16" s="563"/>
      <c r="H16" s="442"/>
      <c r="I16" s="444"/>
      <c r="J16" s="444"/>
      <c r="K16" s="444"/>
      <c r="L16" s="444"/>
      <c r="M16" s="444"/>
      <c r="N16" s="444"/>
      <c r="O16" s="444"/>
      <c r="P16" s="444"/>
      <c r="Q16" s="444"/>
    </row>
    <row r="17" spans="3:17" ht="13.5" thickBot="1">
      <c r="C17" s="441" t="s">
        <v>50</v>
      </c>
      <c r="D17" s="159"/>
      <c r="E17" s="442"/>
      <c r="F17" s="554">
        <v>0</v>
      </c>
      <c r="G17" s="442"/>
      <c r="H17" s="442"/>
      <c r="I17" s="444"/>
      <c r="J17" s="444"/>
      <c r="K17" s="444"/>
      <c r="L17" s="444"/>
      <c r="M17" s="444"/>
      <c r="N17" s="444"/>
      <c r="O17" s="444"/>
      <c r="P17" s="444"/>
    </row>
    <row r="18" spans="3:17">
      <c r="C18" s="441" t="str">
        <f>"   ROE with additional "&amp;F17&amp;" basis point incentive"</f>
        <v xml:space="preserve">   ROE with additional 0 basis point incentive</v>
      </c>
      <c r="D18" s="442"/>
      <c r="E18" s="442"/>
      <c r="F18" s="445">
        <f>IF((F16+(F17/10000)&gt;0.125),"ERROR",F16+(F17/10000))</f>
        <v>0.10349999999999999</v>
      </c>
      <c r="G18" s="446"/>
      <c r="H18" s="442"/>
      <c r="I18" s="444"/>
      <c r="J18" s="444"/>
      <c r="K18" s="444"/>
      <c r="L18" s="564" t="s">
        <v>242</v>
      </c>
      <c r="M18" s="565"/>
      <c r="N18" s="565"/>
      <c r="O18" s="565"/>
      <c r="P18" s="566"/>
    </row>
    <row r="19" spans="3:17">
      <c r="C19" s="441"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59"/>
      <c r="E19" s="442"/>
      <c r="F19" s="447"/>
      <c r="G19" s="447"/>
      <c r="H19" s="442"/>
      <c r="I19" s="444"/>
      <c r="J19" s="444"/>
      <c r="K19" s="444"/>
      <c r="L19" s="567"/>
      <c r="M19" s="444"/>
      <c r="N19" s="444" t="s">
        <v>52</v>
      </c>
      <c r="O19" s="444" t="s">
        <v>53</v>
      </c>
      <c r="P19" s="568" t="s">
        <v>55</v>
      </c>
    </row>
    <row r="20" spans="3:17">
      <c r="C20" s="444"/>
      <c r="D20" s="448" t="s">
        <v>444</v>
      </c>
      <c r="E20" s="448" t="s">
        <v>443</v>
      </c>
      <c r="F20" s="449" t="s">
        <v>51</v>
      </c>
      <c r="G20" s="449"/>
      <c r="H20" s="442"/>
      <c r="I20" s="444"/>
      <c r="J20" s="444"/>
      <c r="K20" s="444"/>
      <c r="L20" s="567" t="s">
        <v>240</v>
      </c>
      <c r="M20" s="569" t="str">
        <f>+TCOS!N3</f>
        <v xml:space="preserve"> </v>
      </c>
      <c r="P20" s="570"/>
    </row>
    <row r="21" spans="3:17">
      <c r="C21" s="450" t="s">
        <v>56</v>
      </c>
      <c r="D21" s="571">
        <f>TCOS!H249</f>
        <v>0.44978206390412179</v>
      </c>
      <c r="E21" s="451">
        <f>TCOS!J249</f>
        <v>4.2743856477088657E-2</v>
      </c>
      <c r="F21" s="452">
        <f>E21*D21</f>
        <v>1.9225419985486502E-2</v>
      </c>
      <c r="G21" s="452"/>
      <c r="H21" s="442"/>
      <c r="I21" s="444"/>
      <c r="J21" s="453"/>
      <c r="K21" s="453"/>
      <c r="L21" s="517"/>
      <c r="M21" s="47" t="s">
        <v>241</v>
      </c>
      <c r="N21" s="667" t="e">
        <f>+M88+#REF!+#REF!+#REF!+#REF!+#REF!+#REF!+#REF!</f>
        <v>#N/A</v>
      </c>
      <c r="O21" s="667" t="e">
        <f>+N88+#REF!+#REF!+#REF!+#REF!+#REF!+#REF!+#REF!</f>
        <v>#N/A</v>
      </c>
      <c r="P21" s="572" t="e">
        <f>+O21-N21</f>
        <v>#N/A</v>
      </c>
    </row>
    <row r="22" spans="3:17" ht="13.5" thickBot="1">
      <c r="C22" s="450" t="s">
        <v>57</v>
      </c>
      <c r="D22" s="571">
        <f>TCOS!H250</f>
        <v>0</v>
      </c>
      <c r="E22" s="451">
        <f>TCOS!J250</f>
        <v>0</v>
      </c>
      <c r="F22" s="452">
        <f>E22*D22</f>
        <v>0</v>
      </c>
      <c r="G22" s="452"/>
      <c r="H22" s="454"/>
      <c r="I22" s="454"/>
      <c r="J22" s="455"/>
      <c r="K22" s="455"/>
      <c r="L22" s="517"/>
      <c r="M22" s="47" t="s">
        <v>620</v>
      </c>
      <c r="N22" s="668" t="e">
        <f>M89+#REF!+#REF!+#REF!+#REF!+#REF!+#REF!+#REF!+#REF!</f>
        <v>#N/A</v>
      </c>
      <c r="O22" s="668" t="e">
        <f>N89+#REF!+#REF!+#REF!+#REF!+#REF!+#REF!+#REF!+#REF!</f>
        <v>#N/A</v>
      </c>
      <c r="P22" s="573" t="e">
        <f>+O22-N22</f>
        <v>#N/A</v>
      </c>
      <c r="Q22" s="455"/>
    </row>
    <row r="23" spans="3:17">
      <c r="C23" s="450" t="s">
        <v>29</v>
      </c>
      <c r="D23" s="571">
        <f>TCOS!H251</f>
        <v>0.55021793609587832</v>
      </c>
      <c r="E23" s="451">
        <f>+F18</f>
        <v>0.10349999999999999</v>
      </c>
      <c r="F23" s="456">
        <f>E23*D23</f>
        <v>5.6947556385923401E-2</v>
      </c>
      <c r="G23" s="456"/>
      <c r="H23" s="454"/>
      <c r="I23" s="454"/>
      <c r="J23" s="455"/>
      <c r="K23" s="455"/>
      <c r="L23" s="517"/>
      <c r="M23" s="47" t="str">
        <f>"True-up of ARR For "&amp;TCOS!L4&amp;""</f>
        <v>True-up of ARR For 2026</v>
      </c>
      <c r="N23" s="495" t="e">
        <f>+N22-N21</f>
        <v>#N/A</v>
      </c>
      <c r="O23" s="495" t="e">
        <f>+O22-O21</f>
        <v>#N/A</v>
      </c>
      <c r="P23" s="574" t="e">
        <f>+P22-P21</f>
        <v>#N/A</v>
      </c>
      <c r="Q23" s="455"/>
    </row>
    <row r="24" spans="3:17">
      <c r="C24" s="441"/>
      <c r="D24"/>
      <c r="E24" s="457" t="s">
        <v>58</v>
      </c>
      <c r="F24" s="452">
        <f>SUM(F21:F23)</f>
        <v>7.6172976371409906E-2</v>
      </c>
      <c r="G24" s="452"/>
      <c r="H24" s="454"/>
      <c r="I24" s="454"/>
      <c r="J24" s="455"/>
      <c r="K24" s="455"/>
      <c r="L24" s="517"/>
      <c r="P24" s="570"/>
      <c r="Q24" s="455"/>
    </row>
    <row r="25" spans="3:17" ht="13.5" thickBot="1">
      <c r="C25" s="41"/>
      <c r="D25" s="462"/>
      <c r="E25" s="462"/>
      <c r="F25" s="454"/>
      <c r="G25" s="454"/>
      <c r="H25" s="454"/>
      <c r="I25" s="454"/>
      <c r="J25" s="454"/>
      <c r="K25" s="454"/>
      <c r="L25" s="575"/>
      <c r="M25" s="576"/>
      <c r="N25" s="577"/>
      <c r="O25" s="577"/>
      <c r="P25" s="573"/>
      <c r="Q25" s="454"/>
    </row>
    <row r="26" spans="3:17" ht="15.75">
      <c r="C26" s="440" t="str">
        <f>"B.   Determine Return using 'R' with hypothetical "&amp;F17&amp;" basis point ROE increase for Identified Projects."</f>
        <v>B.   Determine Return using 'R' with hypothetical 0 basis point ROE increase for Identified Projects.</v>
      </c>
      <c r="D26" s="462"/>
      <c r="E26" s="462"/>
      <c r="F26" s="454"/>
      <c r="G26" s="454"/>
      <c r="H26" s="454"/>
      <c r="I26" s="442"/>
      <c r="J26" s="454"/>
      <c r="K26" s="454"/>
      <c r="L26" s="454"/>
      <c r="M26" s="454"/>
      <c r="N26" s="454"/>
      <c r="O26" s="454"/>
      <c r="P26" s="454"/>
      <c r="Q26" s="454"/>
    </row>
    <row r="27" spans="3:17">
      <c r="C27" s="444"/>
      <c r="D27" s="462"/>
      <c r="E27" s="462"/>
      <c r="F27" s="454"/>
      <c r="G27" s="454"/>
      <c r="H27" s="454"/>
      <c r="I27" s="454"/>
      <c r="J27" s="454"/>
      <c r="K27" s="454"/>
      <c r="L27" s="454"/>
      <c r="M27" s="454"/>
      <c r="N27" s="454"/>
      <c r="O27" s="454"/>
      <c r="P27" s="454"/>
      <c r="Q27" s="454"/>
    </row>
    <row r="28" spans="3:17">
      <c r="C28" s="441" t="str">
        <f>"   Rate Base  (True-Up TCOS, ln "&amp;TCOS!B118&amp;")"</f>
        <v xml:space="preserve">   Rate Base  (True-Up TCOS, ln 58)</v>
      </c>
      <c r="D28" s="442"/>
      <c r="E28" s="470">
        <f>TCOS!L118</f>
        <v>3486271234.7115412</v>
      </c>
      <c r="F28" s="477"/>
      <c r="G28" s="477"/>
      <c r="H28" s="454"/>
      <c r="I28" s="454"/>
      <c r="J28" s="454"/>
      <c r="K28" s="454"/>
      <c r="L28" s="454"/>
      <c r="M28" s="454"/>
      <c r="N28" s="454"/>
      <c r="O28" s="454"/>
      <c r="P28" s="477"/>
      <c r="Q28" s="454"/>
    </row>
    <row r="29" spans="3:17">
      <c r="C29" s="444" t="s">
        <v>60</v>
      </c>
      <c r="D29" s="472"/>
      <c r="E29" s="452">
        <f>F24</f>
        <v>7.6172976371409906E-2</v>
      </c>
      <c r="F29" s="454"/>
      <c r="G29" s="454"/>
      <c r="H29" s="454"/>
      <c r="I29" s="454"/>
      <c r="J29" s="454"/>
      <c r="K29" s="454"/>
      <c r="L29" s="454"/>
      <c r="M29" s="454"/>
      <c r="N29" s="454"/>
      <c r="O29" s="454"/>
      <c r="P29" s="454"/>
      <c r="Q29" s="454"/>
    </row>
    <row r="30" spans="3:17">
      <c r="C30" s="473" t="s">
        <v>61</v>
      </c>
      <c r="D30" s="473"/>
      <c r="E30" s="455">
        <f>E28*E29</f>
        <v>265559656.38600826</v>
      </c>
      <c r="F30" s="454"/>
      <c r="G30" s="454"/>
      <c r="H30" s="454"/>
      <c r="I30" s="454"/>
      <c r="J30" s="455"/>
      <c r="K30" s="455"/>
      <c r="L30" s="455"/>
      <c r="M30" s="455"/>
      <c r="N30" s="455"/>
      <c r="O30" s="455"/>
      <c r="P30" s="454"/>
      <c r="Q30" s="455"/>
    </row>
    <row r="31" spans="3:17">
      <c r="C31" s="473"/>
      <c r="D31" s="444"/>
      <c r="E31" s="444"/>
      <c r="F31" s="454"/>
      <c r="G31" s="454"/>
      <c r="H31" s="454"/>
      <c r="I31" s="454"/>
      <c r="J31" s="455"/>
      <c r="K31" s="455"/>
      <c r="L31" s="455"/>
      <c r="M31" s="455"/>
      <c r="N31" s="455"/>
      <c r="O31" s="455"/>
      <c r="P31" s="454"/>
      <c r="Q31" s="455"/>
    </row>
    <row r="32" spans="3:17" ht="15.75">
      <c r="C32" s="440" t="str">
        <f>"C.   Determine Income Taxes using Return with hypothetical "&amp;F17&amp;" basis point ROE increase for Identified Projects."</f>
        <v>C.   Determine Income Taxes using Return with hypothetical 0 basis point ROE increase for Identified Projects.</v>
      </c>
      <c r="D32" s="474"/>
      <c r="E32" s="474"/>
      <c r="F32" s="475"/>
      <c r="G32" s="475"/>
      <c r="H32" s="475"/>
      <c r="I32" s="475"/>
      <c r="J32" s="476"/>
      <c r="K32" s="476"/>
      <c r="L32" s="476"/>
      <c r="M32" s="476"/>
      <c r="N32" s="476"/>
      <c r="O32" s="476"/>
      <c r="P32" s="475"/>
      <c r="Q32" s="476"/>
    </row>
    <row r="33" spans="2:17">
      <c r="C33" s="441"/>
      <c r="D33" s="444"/>
      <c r="E33" s="444"/>
      <c r="F33" s="454"/>
      <c r="G33" s="454"/>
      <c r="H33" s="454"/>
      <c r="I33" s="454"/>
      <c r="J33" s="455"/>
      <c r="K33" s="455"/>
      <c r="L33" s="455"/>
      <c r="M33" s="455"/>
      <c r="N33" s="455"/>
      <c r="O33" s="455"/>
      <c r="P33" s="454"/>
      <c r="Q33" s="455"/>
    </row>
    <row r="34" spans="2:17">
      <c r="C34" s="444" t="s">
        <v>62</v>
      </c>
      <c r="D34" s="457"/>
      <c r="E34" s="477">
        <f>E30</f>
        <v>265559656.38600826</v>
      </c>
      <c r="F34" s="454"/>
      <c r="G34" s="454"/>
      <c r="H34" s="454"/>
      <c r="I34" s="454"/>
      <c r="J34" s="454"/>
      <c r="K34" s="454"/>
      <c r="L34" s="454"/>
      <c r="M34" s="454"/>
      <c r="N34" s="454"/>
      <c r="O34" s="454"/>
      <c r="P34" s="454"/>
      <c r="Q34" s="454"/>
    </row>
    <row r="35" spans="2:17">
      <c r="C35" s="441" t="str">
        <f>"   Effective Tax Rate  (TCOS, ln "&amp;TCOS!B178&amp;")"</f>
        <v xml:space="preserve">   Effective Tax Rate  (TCOS, ln 97)</v>
      </c>
      <c r="D35" s="47"/>
      <c r="E35" s="478">
        <f>TCOS!G178</f>
        <v>0.24828744721903251</v>
      </c>
      <c r="F35" s="3"/>
      <c r="G35" s="3"/>
      <c r="H35" s="3"/>
      <c r="I35" s="479"/>
      <c r="J35" s="3"/>
      <c r="K35" s="3"/>
      <c r="Q35" s="3"/>
    </row>
    <row r="36" spans="2:17">
      <c r="C36" s="473" t="s">
        <v>63</v>
      </c>
      <c r="D36" s="47"/>
      <c r="E36" s="480">
        <f>E34*E35</f>
        <v>65935129.168445438</v>
      </c>
      <c r="F36" s="3"/>
      <c r="G36" s="3"/>
      <c r="H36" s="3"/>
      <c r="I36" s="479"/>
      <c r="J36" s="3"/>
      <c r="K36" s="3"/>
      <c r="Q36" s="3"/>
    </row>
    <row r="37" spans="2:17" ht="15">
      <c r="C37" s="441" t="s">
        <v>105</v>
      </c>
      <c r="D37" s="131"/>
      <c r="E37" s="454">
        <f>TCOS!L186</f>
        <v>0</v>
      </c>
      <c r="F37" s="131"/>
      <c r="G37" s="131"/>
      <c r="H37" s="131"/>
      <c r="I37" s="131"/>
      <c r="J37" s="131"/>
      <c r="K37" s="131"/>
      <c r="L37" s="131"/>
      <c r="M37" s="131"/>
      <c r="N37" s="131"/>
      <c r="O37" s="131"/>
      <c r="P37" s="145"/>
      <c r="Q37" s="131"/>
    </row>
    <row r="38" spans="2:17" ht="15">
      <c r="C38" s="441" t="s">
        <v>558</v>
      </c>
      <c r="D38" s="131"/>
      <c r="E38" s="454">
        <f>TCOS!L187</f>
        <v>1571958.4586509578</v>
      </c>
      <c r="F38" s="131"/>
      <c r="G38" s="131"/>
      <c r="H38" s="131"/>
      <c r="I38" s="131"/>
      <c r="J38" s="131"/>
      <c r="K38" s="131"/>
      <c r="L38" s="131"/>
      <c r="M38" s="131"/>
      <c r="N38" s="131"/>
      <c r="O38" s="131"/>
      <c r="P38" s="145"/>
      <c r="Q38" s="131"/>
    </row>
    <row r="39" spans="2:17" ht="15">
      <c r="C39" s="441" t="s">
        <v>560</v>
      </c>
      <c r="D39" s="131"/>
      <c r="E39" s="578">
        <f>TCOS!L188</f>
        <v>1082472.229580485</v>
      </c>
      <c r="F39" s="131"/>
      <c r="G39" s="131"/>
      <c r="H39" s="131"/>
      <c r="I39" s="131"/>
      <c r="J39" s="131"/>
      <c r="K39" s="131"/>
      <c r="L39" s="131"/>
      <c r="M39" s="131"/>
      <c r="N39" s="131"/>
      <c r="O39" s="131"/>
      <c r="P39" s="145"/>
      <c r="Q39" s="131"/>
    </row>
    <row r="40" spans="2:17" ht="15">
      <c r="C40" s="473" t="s">
        <v>64</v>
      </c>
      <c r="D40" s="131"/>
      <c r="E40" s="454">
        <f>E36+E37+E38+E39</f>
        <v>68589559.856676891</v>
      </c>
      <c r="F40" s="131"/>
      <c r="G40" s="131"/>
      <c r="H40" s="131"/>
      <c r="I40" s="131"/>
      <c r="J40" s="131"/>
      <c r="K40" s="131"/>
      <c r="L40" s="131"/>
      <c r="M40" s="131"/>
      <c r="N40" s="131"/>
      <c r="O40" s="131"/>
      <c r="P40" s="144"/>
      <c r="Q40" s="131"/>
    </row>
    <row r="41" spans="2:17" ht="12.75" customHeight="1">
      <c r="C41" s="128"/>
      <c r="D41" s="131"/>
      <c r="E41" s="131"/>
      <c r="F41" s="131"/>
      <c r="G41" s="131"/>
      <c r="H41" s="131"/>
      <c r="I41" s="131"/>
      <c r="J41" s="131"/>
      <c r="K41" s="131"/>
      <c r="L41" s="131"/>
      <c r="M41" s="131"/>
      <c r="N41" s="131"/>
      <c r="O41" s="131"/>
      <c r="P41" s="144"/>
      <c r="Q41" s="131"/>
    </row>
    <row r="42" spans="2:17" ht="18.75">
      <c r="B42" s="438" t="s">
        <v>470</v>
      </c>
      <c r="C42" s="6" t="str">
        <f>"Calculate Net Plant Carrying Charge Rate (Fixed Charge Rate or FCR) with hypothetical "&amp;F17&amp;""</f>
        <v>Calculate Net Plant Carrying Charge Rate (Fixed Charge Rate or FCR) with hypothetical 0</v>
      </c>
      <c r="D42" s="131"/>
      <c r="E42" s="131"/>
      <c r="F42" s="131"/>
      <c r="G42" s="131"/>
      <c r="H42" s="131"/>
      <c r="I42" s="131"/>
      <c r="J42" s="131"/>
      <c r="K42" s="131"/>
      <c r="L42" s="131"/>
      <c r="M42" s="131"/>
      <c r="N42" s="131"/>
      <c r="O42" s="131"/>
      <c r="P42" s="144"/>
      <c r="Q42" s="131"/>
    </row>
    <row r="43" spans="2:17" ht="18.75" customHeight="1">
      <c r="C43" s="6" t="str">
        <f>"basis point ROE increase."</f>
        <v>basis point ROE increase.</v>
      </c>
      <c r="D43" s="131"/>
      <c r="E43" s="131"/>
      <c r="F43" s="131"/>
      <c r="G43" s="131"/>
      <c r="H43" s="131"/>
      <c r="I43" s="131"/>
      <c r="J43" s="131"/>
      <c r="K43" s="131"/>
      <c r="L43" s="131"/>
      <c r="M43" s="131"/>
      <c r="N43" s="131"/>
      <c r="O43" s="131"/>
      <c r="P43" s="144"/>
      <c r="Q43" s="131"/>
    </row>
    <row r="44" spans="2:17" ht="12.75" customHeight="1">
      <c r="C44" s="6"/>
      <c r="D44" s="131"/>
      <c r="E44" s="131"/>
      <c r="F44" s="131"/>
      <c r="G44" s="131"/>
      <c r="H44" s="131"/>
      <c r="I44" s="131"/>
      <c r="J44" s="131"/>
      <c r="K44" s="131"/>
      <c r="L44" s="131"/>
      <c r="M44" s="131"/>
      <c r="N44" s="131"/>
      <c r="O44" s="131"/>
      <c r="P44" s="144"/>
      <c r="Q44" s="131"/>
    </row>
    <row r="45" spans="2:17" ht="15.75">
      <c r="C45" s="440" t="s">
        <v>261</v>
      </c>
      <c r="D45" s="131"/>
      <c r="E45" s="131"/>
      <c r="F45" s="128"/>
      <c r="G45" s="128"/>
      <c r="H45" s="131"/>
      <c r="I45" s="131"/>
      <c r="J45" s="131"/>
      <c r="K45" s="131"/>
      <c r="L45" s="131"/>
      <c r="M45" s="131"/>
      <c r="N45" s="131"/>
      <c r="O45" s="131"/>
      <c r="P45" s="144"/>
      <c r="Q45" s="131"/>
    </row>
    <row r="46" spans="2:17">
      <c r="B46" s="3"/>
      <c r="C46" s="441"/>
      <c r="D46" s="442"/>
      <c r="E46" s="442"/>
      <c r="F46" s="442"/>
      <c r="G46" s="442"/>
      <c r="H46" s="442"/>
      <c r="I46" s="442"/>
      <c r="J46" s="442"/>
      <c r="K46" s="442"/>
      <c r="L46" s="442"/>
      <c r="M46" s="442"/>
      <c r="N46" s="442"/>
      <c r="O46" s="442"/>
      <c r="P46" s="454"/>
      <c r="Q46" s="442"/>
    </row>
    <row r="47" spans="2:17" ht="12.75" customHeight="1">
      <c r="B47" s="3"/>
      <c r="C47" s="441" t="str">
        <f>"   Annual Revenue Requirement  (TCOS, ln "&amp;TCOS!B13&amp;")"</f>
        <v xml:space="preserve">   Annual Revenue Requirement  (TCOS, ln 1)</v>
      </c>
      <c r="D47" s="442"/>
      <c r="E47" s="442"/>
      <c r="F47" s="454">
        <f>TCOS!L13</f>
        <v>553894297.17740774</v>
      </c>
      <c r="G47" s="454"/>
      <c r="H47" s="579" t="s">
        <v>414</v>
      </c>
      <c r="I47" s="442"/>
      <c r="J47" s="442"/>
      <c r="K47" s="442"/>
      <c r="L47" s="442"/>
      <c r="M47" s="442"/>
      <c r="N47" s="442"/>
      <c r="O47" s="442"/>
      <c r="P47" s="454"/>
      <c r="Q47" s="442"/>
    </row>
    <row r="48" spans="2:17" ht="12.75" customHeight="1">
      <c r="B48" s="3"/>
      <c r="C48" s="482" t="str">
        <f>"   Lease Payments (TCOS, Lns "&amp;TCOS!B157&amp;")"</f>
        <v xml:space="preserve">   Lease Payments (TCOS, Lns 80)</v>
      </c>
      <c r="D48" s="442"/>
      <c r="E48" s="442"/>
      <c r="F48" s="454">
        <f>TCOS!L157</f>
        <v>0</v>
      </c>
      <c r="G48" s="454"/>
      <c r="H48" s="579"/>
      <c r="I48" s="442"/>
      <c r="J48" s="442"/>
      <c r="K48" s="442"/>
      <c r="L48" s="442"/>
      <c r="M48" s="442"/>
      <c r="N48" s="442"/>
      <c r="O48" s="442"/>
      <c r="P48" s="454"/>
      <c r="Q48" s="442"/>
    </row>
    <row r="49" spans="2:17">
      <c r="B49" s="3"/>
      <c r="C49" s="441" t="str">
        <f>"   Return  (TCOS, ln "&amp;TCOS!B191&amp;")"</f>
        <v xml:space="preserve">   Return  (TCOS, ln 109)</v>
      </c>
      <c r="D49" s="442"/>
      <c r="E49" s="442"/>
      <c r="F49" s="455">
        <f>TCOS!L191</f>
        <v>265513494.81947523</v>
      </c>
      <c r="G49" s="455"/>
      <c r="H49" s="441"/>
      <c r="I49" s="441"/>
      <c r="J49" s="441"/>
      <c r="K49" s="441"/>
      <c r="L49" s="441"/>
      <c r="M49" s="441"/>
      <c r="N49" s="441"/>
      <c r="O49" s="441"/>
      <c r="P49" s="454"/>
      <c r="Q49" s="441"/>
    </row>
    <row r="50" spans="2:17">
      <c r="B50" s="3"/>
      <c r="C50" s="441" t="str">
        <f>"   Income Taxes  (TCOS, ln "&amp;TCOS!B189&amp;")"</f>
        <v xml:space="preserve">   Income Taxes  (TCOS, ln 108)</v>
      </c>
      <c r="D50" s="442"/>
      <c r="E50" s="442"/>
      <c r="F50" s="483">
        <f>TCOS!L189</f>
        <v>68578098.519162774</v>
      </c>
      <c r="G50" s="483"/>
      <c r="H50" s="442"/>
      <c r="I50" s="442"/>
      <c r="J50" s="484"/>
      <c r="K50" s="484"/>
      <c r="L50" s="484"/>
      <c r="M50" s="484"/>
      <c r="N50" s="484"/>
      <c r="O50" s="484"/>
      <c r="P50" s="442"/>
      <c r="Q50" s="484"/>
    </row>
    <row r="51" spans="2:17">
      <c r="B51" s="3"/>
      <c r="C51" s="1197" t="s">
        <v>621</v>
      </c>
      <c r="D51" s="1198"/>
      <c r="E51" s="442"/>
      <c r="F51" s="455">
        <f>F47-F49-F50-F48</f>
        <v>219802703.83876973</v>
      </c>
      <c r="G51" s="455"/>
      <c r="H51" s="485"/>
      <c r="I51" s="442"/>
      <c r="J51" s="485"/>
      <c r="K51" s="485"/>
      <c r="L51" s="485"/>
      <c r="M51" s="485"/>
      <c r="N51" s="485"/>
      <c r="O51" s="485"/>
      <c r="P51" s="485"/>
      <c r="Q51" s="485"/>
    </row>
    <row r="52" spans="2:17">
      <c r="B52" s="3"/>
      <c r="C52" s="1198"/>
      <c r="D52" s="1198"/>
      <c r="E52" s="442"/>
      <c r="F52" s="454"/>
      <c r="G52" s="454"/>
      <c r="H52" s="486"/>
      <c r="I52" s="487"/>
      <c r="J52" s="487"/>
      <c r="K52" s="487"/>
      <c r="L52" s="487"/>
      <c r="M52" s="487"/>
      <c r="N52" s="487"/>
      <c r="O52" s="487"/>
      <c r="P52" s="487"/>
      <c r="Q52" s="487"/>
    </row>
    <row r="53" spans="2:17" ht="15.75">
      <c r="B53" s="3"/>
      <c r="C53" s="440" t="str">
        <f>"B.   Determine Annual Revenue Requirement with hypothetical "&amp;F17&amp;" basis point increase in ROE."</f>
        <v>B.   Determine Annual Revenue Requirement with hypothetical 0 basis point increase in ROE.</v>
      </c>
      <c r="D53" s="444"/>
      <c r="E53" s="444"/>
      <c r="F53" s="454"/>
      <c r="G53" s="454"/>
      <c r="H53" s="486"/>
      <c r="I53" s="487"/>
      <c r="J53" s="487"/>
      <c r="K53" s="487"/>
      <c r="L53" s="487"/>
      <c r="M53" s="487"/>
      <c r="N53" s="487"/>
      <c r="O53" s="487"/>
      <c r="P53" s="487"/>
      <c r="Q53" s="487"/>
    </row>
    <row r="54" spans="2:17">
      <c r="B54" s="3"/>
      <c r="C54" s="441"/>
      <c r="D54" s="444"/>
      <c r="E54" s="444"/>
      <c r="F54" s="454"/>
      <c r="G54" s="454"/>
      <c r="H54" s="486"/>
      <c r="I54" s="487"/>
      <c r="J54" s="487"/>
      <c r="K54" s="487"/>
      <c r="L54" s="487"/>
      <c r="M54" s="487"/>
      <c r="N54" s="487"/>
      <c r="O54" s="487"/>
      <c r="P54" s="487"/>
      <c r="Q54" s="487"/>
    </row>
    <row r="55" spans="2:17">
      <c r="B55" s="3"/>
      <c r="C55" s="482" t="str">
        <f>C51</f>
        <v xml:space="preserve">   Annual Revenue Requirement, Less Lease Payments, Return and Taxes</v>
      </c>
      <c r="D55" s="444"/>
      <c r="E55" s="444"/>
      <c r="F55" s="454">
        <f>F51</f>
        <v>219802703.83876973</v>
      </c>
      <c r="G55" s="454"/>
      <c r="H55" s="442"/>
      <c r="I55" s="442"/>
      <c r="J55" s="442"/>
      <c r="K55" s="442"/>
      <c r="L55" s="442"/>
      <c r="M55" s="442"/>
      <c r="N55" s="442"/>
      <c r="O55" s="442"/>
      <c r="P55" s="488"/>
      <c r="Q55" s="442"/>
    </row>
    <row r="56" spans="2:17">
      <c r="B56" s="3"/>
      <c r="C56" s="444" t="s">
        <v>102</v>
      </c>
      <c r="D56" s="47"/>
      <c r="E56" s="3"/>
      <c r="F56" s="480">
        <f>E30</f>
        <v>265559656.38600826</v>
      </c>
      <c r="G56" s="480"/>
      <c r="H56" s="3"/>
      <c r="I56" s="580"/>
      <c r="J56" s="3"/>
      <c r="K56" s="3"/>
      <c r="Q56" s="3"/>
    </row>
    <row r="57" spans="2:17" ht="12.75" customHeight="1">
      <c r="B57" s="3"/>
      <c r="C57" s="441" t="s">
        <v>70</v>
      </c>
      <c r="D57" s="442"/>
      <c r="E57" s="442"/>
      <c r="F57" s="483">
        <f>E40</f>
        <v>68589559.856676891</v>
      </c>
      <c r="G57" s="483"/>
      <c r="H57" s="3"/>
      <c r="I57" s="479"/>
      <c r="J57" s="3"/>
      <c r="K57" s="3"/>
      <c r="Q57" s="3"/>
    </row>
    <row r="58" spans="2:17">
      <c r="B58" s="3"/>
      <c r="C58" s="3" t="str">
        <f>"   Annual Revenue Requirement, with "&amp;F17&amp;" Basis Point ROE increase"</f>
        <v xml:space="preserve">   Annual Revenue Requirement, with 0 Basis Point ROE increase</v>
      </c>
      <c r="D58" s="47"/>
      <c r="E58" s="3"/>
      <c r="F58" s="480">
        <f>SUM(F55:F57)</f>
        <v>553951920.08145487</v>
      </c>
      <c r="G58" s="480"/>
      <c r="H58" s="3"/>
      <c r="I58" s="479"/>
      <c r="J58" s="3"/>
      <c r="K58" s="3"/>
      <c r="Q58" s="3"/>
    </row>
    <row r="59" spans="2:17">
      <c r="B59" s="3"/>
      <c r="C59" s="441" t="str">
        <f>"   Depreciation  (TCOS, ln "&amp;TCOS!B161&amp;")"</f>
        <v xml:space="preserve">   Depreciation  (TCOS, ln 83)</v>
      </c>
      <c r="D59" s="47"/>
      <c r="E59" s="3"/>
      <c r="F59" s="489">
        <f>TCOS!L161</f>
        <v>125288955.42490879</v>
      </c>
      <c r="G59" s="489"/>
      <c r="H59" s="480"/>
      <c r="I59" s="479"/>
      <c r="J59" s="3"/>
      <c r="K59" s="3"/>
      <c r="Q59" s="3"/>
    </row>
    <row r="60" spans="2:17">
      <c r="B60" s="3"/>
      <c r="C60" s="1115" t="str">
        <f>"   Annual Rev. Req, w/ "&amp;F17&amp;" Basis Point ROE increase, less Depreciation"</f>
        <v xml:space="preserve">   Annual Rev. Req, w/ 0 Basis Point ROE increase, less Depreciation</v>
      </c>
      <c r="D60" s="1188"/>
      <c r="E60" s="3"/>
      <c r="F60" s="480">
        <f>F58-F59</f>
        <v>428662964.65654612</v>
      </c>
      <c r="G60" s="480"/>
      <c r="H60" s="3"/>
      <c r="I60" s="479"/>
      <c r="J60" s="3"/>
      <c r="K60" s="3"/>
      <c r="Q60" s="3"/>
    </row>
    <row r="61" spans="2:17">
      <c r="B61" s="3"/>
      <c r="C61" s="1188"/>
      <c r="D61" s="1188"/>
      <c r="E61" s="3"/>
      <c r="F61" s="3"/>
      <c r="G61" s="3"/>
      <c r="H61" s="3"/>
      <c r="I61" s="479"/>
      <c r="J61" s="3"/>
      <c r="K61" s="3"/>
      <c r="Q61" s="3"/>
    </row>
    <row r="62" spans="2:17" ht="15.75">
      <c r="B62" s="3"/>
      <c r="C62" s="440" t="str">
        <f>"C.   Determine FCR with hypothetical "&amp;F17&amp;" basis point ROE increase."</f>
        <v>C.   Determine FCR with hypothetical 0 basis point ROE increase.</v>
      </c>
      <c r="D62" s="47"/>
      <c r="E62" s="3"/>
      <c r="F62" s="3"/>
      <c r="G62" s="3"/>
      <c r="H62" s="3"/>
      <c r="I62" s="479"/>
      <c r="J62" s="3"/>
      <c r="K62" s="3"/>
      <c r="Q62" s="3"/>
    </row>
    <row r="63" spans="2:17">
      <c r="B63" s="3"/>
      <c r="C63" s="3"/>
      <c r="D63" s="47"/>
      <c r="E63" s="3"/>
      <c r="F63" s="3"/>
      <c r="G63" s="3"/>
      <c r="H63" s="3"/>
      <c r="I63" s="479"/>
      <c r="J63" s="3"/>
      <c r="K63" s="3"/>
      <c r="Q63" s="3"/>
    </row>
    <row r="64" spans="2:17">
      <c r="B64" s="3"/>
      <c r="C64" s="441" t="str">
        <f>"   Net Transmission Plant  (Projected TCOS, ln "&amp;TCOS!B83&amp;")"</f>
        <v xml:space="preserve">   Net Transmission Plant  (Projected TCOS, ln 33)</v>
      </c>
      <c r="D64" s="47"/>
      <c r="E64" s="3"/>
      <c r="F64" s="480">
        <f>TCOS!L83</f>
        <v>3829785329.5857449</v>
      </c>
      <c r="G64" s="480"/>
      <c r="H64" s="480"/>
      <c r="I64" s="581"/>
      <c r="J64" s="3"/>
      <c r="K64" s="3"/>
      <c r="Q64" s="3"/>
    </row>
    <row r="65" spans="2:17">
      <c r="B65" s="3"/>
      <c r="C65" s="3" t="str">
        <f>"   Annual Revenue Requirement, with "&amp;F17&amp;" Basis Point ROE increase"</f>
        <v xml:space="preserve">   Annual Revenue Requirement, with 0 Basis Point ROE increase</v>
      </c>
      <c r="D65" s="47"/>
      <c r="E65" s="3"/>
      <c r="F65" s="480">
        <f>F58</f>
        <v>553951920.08145487</v>
      </c>
      <c r="G65" s="480"/>
      <c r="H65" s="3"/>
      <c r="I65" s="479"/>
      <c r="J65" s="3"/>
      <c r="K65" s="3"/>
      <c r="Q65" s="3"/>
    </row>
    <row r="66" spans="2:17">
      <c r="B66" s="3"/>
      <c r="C66" s="3" t="str">
        <f>"   FCR with "&amp;F17&amp;" Basis Point increase in ROE"</f>
        <v xml:space="preserve">   FCR with 0 Basis Point increase in ROE</v>
      </c>
      <c r="D66" s="47"/>
      <c r="E66" s="3"/>
      <c r="F66" s="478">
        <f>IF(F64=0,0,F65/F64)</f>
        <v>0.14464307328196227</v>
      </c>
      <c r="G66" s="478"/>
      <c r="H66" s="478"/>
      <c r="I66" s="479"/>
      <c r="J66" s="3"/>
      <c r="K66" s="3"/>
      <c r="Q66" s="3"/>
    </row>
    <row r="67" spans="2:17">
      <c r="B67" s="3"/>
      <c r="C67" s="41"/>
      <c r="D67" s="47"/>
      <c r="E67" s="3"/>
      <c r="F67" s="3"/>
      <c r="G67" s="3"/>
      <c r="H67" s="3"/>
      <c r="I67" s="479"/>
      <c r="J67" s="3"/>
      <c r="K67" s="3"/>
      <c r="Q67" s="3"/>
    </row>
    <row r="68" spans="2:17">
      <c r="B68" s="3"/>
      <c r="C68" s="3" t="str">
        <f>"   Annual Rev. Req, w / "&amp;F17&amp;" Basis Point ROE increase, less Dep."</f>
        <v xml:space="preserve">   Annual Rev. Req, w / 0 Basis Point ROE increase, less Dep.</v>
      </c>
      <c r="D68" s="47"/>
      <c r="E68" s="3"/>
      <c r="F68" s="480">
        <f>F60</f>
        <v>428662964.65654612</v>
      </c>
      <c r="G68" s="480"/>
      <c r="H68" s="3"/>
      <c r="I68" s="479"/>
      <c r="J68" s="3"/>
      <c r="K68" s="3"/>
      <c r="Q68" s="3"/>
    </row>
    <row r="69" spans="2:17">
      <c r="B69" s="3"/>
      <c r="C69" s="3" t="str">
        <f>"   FCR with "&amp;F17&amp;" Basis Point ROE increase, less Depreciation"</f>
        <v xml:space="preserve">   FCR with 0 Basis Point ROE increase, less Depreciation</v>
      </c>
      <c r="D69" s="47"/>
      <c r="E69" s="3"/>
      <c r="F69" s="478">
        <f>IF(F68=0,0,F68/F64)</f>
        <v>0.11192871865298862</v>
      </c>
      <c r="G69" s="478"/>
      <c r="H69" s="3"/>
      <c r="I69" s="479"/>
      <c r="J69" s="3"/>
      <c r="K69" s="3"/>
      <c r="Q69" s="3"/>
    </row>
    <row r="70" spans="2:17">
      <c r="B70" s="3"/>
      <c r="C70" s="441" t="str">
        <f>"   FCR less Depreciation  (TCOS, ln "&amp;TCOS!B31&amp;")"</f>
        <v xml:space="preserve">   FCR less Depreciation  (TCOS, ln 10)</v>
      </c>
      <c r="D70" s="47"/>
      <c r="E70" s="3"/>
      <c r="F70" s="491">
        <f>TCOS!L31</f>
        <v>0.11191367266500543</v>
      </c>
      <c r="G70" s="491"/>
      <c r="H70" s="3"/>
      <c r="I70" s="479"/>
      <c r="J70" s="3"/>
      <c r="K70" s="3"/>
      <c r="Q70" s="3"/>
    </row>
    <row r="71" spans="2:17">
      <c r="B71" s="3"/>
      <c r="C71" s="1115" t="str">
        <f>"   Incremental FCR with "&amp;F17&amp;" Basis Point ROE increase, less Depreciation"</f>
        <v xml:space="preserve">   Incremental FCR with 0 Basis Point ROE increase, less Depreciation</v>
      </c>
      <c r="D71" s="1188"/>
      <c r="E71" s="3"/>
      <c r="F71" s="478">
        <f>F69-F70</f>
        <v>1.5045987983186571E-5</v>
      </c>
      <c r="G71" s="478"/>
      <c r="H71" s="3"/>
      <c r="I71" s="479"/>
      <c r="J71" s="3"/>
      <c r="K71" s="3"/>
      <c r="Q71" s="3"/>
    </row>
    <row r="72" spans="2:17">
      <c r="B72" s="3"/>
      <c r="C72" s="1188"/>
      <c r="D72" s="1188"/>
      <c r="E72" s="3"/>
      <c r="F72" s="478"/>
      <c r="G72" s="478"/>
      <c r="H72" s="3"/>
      <c r="I72" s="479"/>
      <c r="J72" s="3"/>
      <c r="K72" s="3"/>
      <c r="Q72" s="3"/>
    </row>
    <row r="73" spans="2:17" ht="18.75">
      <c r="B73" s="438" t="s">
        <v>471</v>
      </c>
      <c r="C73" s="6" t="s">
        <v>71</v>
      </c>
      <c r="D73" s="47"/>
      <c r="E73" s="3"/>
      <c r="F73" s="478"/>
      <c r="G73" s="478"/>
      <c r="H73" s="3"/>
      <c r="I73" s="479"/>
      <c r="J73" s="3"/>
      <c r="K73" s="3"/>
      <c r="Q73" s="3"/>
    </row>
    <row r="74" spans="2:17">
      <c r="B74" s="3"/>
      <c r="C74" s="3"/>
      <c r="D74" s="47"/>
      <c r="E74" s="3"/>
      <c r="F74" s="478"/>
      <c r="G74" s="478"/>
      <c r="H74" s="3"/>
      <c r="I74" s="479"/>
      <c r="J74" s="3"/>
      <c r="K74" s="3"/>
      <c r="Q74" s="3"/>
    </row>
    <row r="75" spans="2:17">
      <c r="B75" s="3"/>
      <c r="C75" s="3" t="str">
        <f>+"Average Transmission Plant Balance for "&amp;TCOS!L4&amp;" TCOS, ln "&amp;TCOS!B63</f>
        <v>Average Transmission Plant Balance for 2026 TCOS, ln 19</v>
      </c>
      <c r="D75" s="47"/>
      <c r="E75" s="3"/>
      <c r="F75" s="3"/>
      <c r="G75" s="3"/>
      <c r="H75" s="479">
        <f>TCOS!L63</f>
        <v>4515957150.7208729</v>
      </c>
      <c r="J75" s="3"/>
      <c r="K75" s="3"/>
      <c r="Q75" s="3"/>
    </row>
    <row r="76" spans="2:17">
      <c r="B76" s="3"/>
      <c r="C76" s="3" t="str">
        <f>"Annual Depreciation and Amortization Expense (TCOS, ln "&amp;TCOS!B161&amp;")"</f>
        <v>Annual Depreciation and Amortization Expense (TCOS, ln 83)</v>
      </c>
      <c r="D76" s="47"/>
      <c r="E76" s="3"/>
      <c r="H76" s="332">
        <f>TCOS!L161</f>
        <v>125288955.42490879</v>
      </c>
      <c r="I76" s="479"/>
      <c r="J76" s="3"/>
      <c r="K76" s="3"/>
      <c r="Q76" s="3"/>
    </row>
    <row r="77" spans="2:17">
      <c r="B77" s="3"/>
      <c r="C77" s="3" t="s">
        <v>72</v>
      </c>
      <c r="D77" s="47"/>
      <c r="E77" s="3"/>
      <c r="H77" s="615">
        <f>H76/H75</f>
        <v>2.7743610322987493E-2</v>
      </c>
      <c r="I77" s="493"/>
      <c r="J77" s="1189"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Indiana Michigan Transmission Company establishes Transmission plant in service the depreciation expense component of the carrying charge will be calculated as in the Operating Company formula approved in Docket No. ER08-1329.  The calculation for AEP Indiana Michigan Transmission Company is shown on Worksheet P.</v>
      </c>
      <c r="K77" s="1189"/>
      <c r="L77" s="1189"/>
      <c r="M77" s="1189"/>
      <c r="N77" s="1189"/>
      <c r="O77" s="1189"/>
      <c r="P77" s="1189"/>
      <c r="Q77" s="439"/>
    </row>
    <row r="78" spans="2:17">
      <c r="B78" s="3"/>
      <c r="C78" s="3" t="s">
        <v>73</v>
      </c>
      <c r="D78" s="47"/>
      <c r="E78" s="3"/>
      <c r="H78" s="494">
        <f>IF(H77=0,0,1/H77)</f>
        <v>36.044335555399257</v>
      </c>
      <c r="I78" s="479"/>
      <c r="J78" s="1189"/>
      <c r="K78" s="1189"/>
      <c r="L78" s="1189"/>
      <c r="M78" s="1189"/>
      <c r="N78" s="1189"/>
      <c r="O78" s="1189"/>
      <c r="P78" s="1189"/>
      <c r="Q78" s="439"/>
    </row>
    <row r="79" spans="2:17">
      <c r="B79" s="3"/>
      <c r="C79" s="3" t="s">
        <v>596</v>
      </c>
      <c r="D79" s="47"/>
      <c r="E79" s="3"/>
      <c r="H79" s="495">
        <f>ROUND(H78,0)</f>
        <v>36</v>
      </c>
      <c r="I79" s="479"/>
      <c r="J79" s="1189"/>
      <c r="K79" s="1189"/>
      <c r="L79" s="1189"/>
      <c r="M79" s="1189"/>
      <c r="N79" s="1189"/>
      <c r="O79" s="1189"/>
      <c r="P79" s="1189"/>
      <c r="Q79" s="439"/>
    </row>
    <row r="80" spans="2:17">
      <c r="B80" s="3"/>
      <c r="C80" s="3"/>
      <c r="D80" s="47"/>
      <c r="E80" s="3"/>
      <c r="H80" s="495"/>
      <c r="I80" s="479"/>
      <c r="J80" s="1189"/>
      <c r="K80" s="1189"/>
      <c r="L80" s="1189"/>
      <c r="M80" s="1189"/>
      <c r="N80" s="1189"/>
      <c r="O80" s="1189"/>
      <c r="P80" s="1189"/>
    </row>
    <row r="81" spans="1:17" ht="20.25">
      <c r="A81" s="436" t="str">
        <f>""&amp;A6&amp;" Worksheet K -  ATRR TRUE-UP Calculation for PJM Projects Charged to Benefiting Zones"</f>
        <v>AEP Indiana Michigan Transmission Company Worksheet K -  ATRR TRUE-UP Calculation for PJM Projects Charged to Benefiting Zones</v>
      </c>
      <c r="B81" s="3"/>
      <c r="C81" s="3"/>
      <c r="D81" s="47"/>
      <c r="E81" s="3"/>
      <c r="F81" s="478"/>
      <c r="G81" s="478"/>
      <c r="H81" s="3"/>
      <c r="I81" s="479"/>
      <c r="L81" s="387"/>
      <c r="M81" s="387"/>
      <c r="N81" s="387"/>
      <c r="O81" s="387" t="str">
        <f>"Page "&amp;SUM(Q$8:Q81)&amp;" of "</f>
        <v xml:space="preserve">Page 2 of </v>
      </c>
      <c r="P81" s="437">
        <f>COUNT(Q$8:Q$57702)</f>
        <v>2</v>
      </c>
      <c r="Q81" s="497">
        <v>1</v>
      </c>
    </row>
    <row r="82" spans="1:17">
      <c r="B82" s="3"/>
      <c r="C82" s="3"/>
      <c r="D82" s="47"/>
      <c r="E82" s="3"/>
      <c r="F82" s="3"/>
      <c r="G82" s="3"/>
      <c r="H82" s="3"/>
      <c r="I82" s="479"/>
      <c r="J82" s="3"/>
      <c r="K82" s="3"/>
    </row>
    <row r="83" spans="1:17" ht="18">
      <c r="B83" s="438" t="s">
        <v>472</v>
      </c>
      <c r="C83" s="119" t="s">
        <v>93</v>
      </c>
      <c r="D83" s="47"/>
      <c r="E83" s="3"/>
      <c r="F83" s="3"/>
      <c r="G83" s="3"/>
      <c r="H83" s="3"/>
      <c r="I83" s="479"/>
      <c r="J83" s="479"/>
      <c r="K83" s="492"/>
      <c r="L83" s="479"/>
      <c r="M83" s="479"/>
      <c r="N83" s="479"/>
      <c r="O83" s="479"/>
      <c r="Q83" s="3"/>
    </row>
    <row r="84" spans="1:17" ht="18.75">
      <c r="B84" s="438"/>
      <c r="C84" s="6"/>
      <c r="D84" s="47"/>
      <c r="E84" s="3"/>
      <c r="F84" s="3"/>
      <c r="G84" s="3"/>
      <c r="H84" s="3"/>
      <c r="I84" s="479"/>
      <c r="J84" s="479"/>
      <c r="K84" s="492"/>
      <c r="L84" s="479"/>
      <c r="M84" s="479"/>
      <c r="N84" s="479"/>
      <c r="O84" s="479"/>
    </row>
    <row r="85" spans="1:17" ht="18.75">
      <c r="B85" s="438"/>
      <c r="C85" s="6" t="s">
        <v>94</v>
      </c>
      <c r="D85" s="47"/>
      <c r="E85" s="3"/>
      <c r="F85" s="3"/>
      <c r="G85" s="3"/>
      <c r="H85" s="3"/>
      <c r="I85" s="479"/>
      <c r="J85" s="479"/>
      <c r="K85" s="492"/>
      <c r="L85" s="479"/>
      <c r="M85" s="479"/>
      <c r="N85" s="479"/>
      <c r="O85" s="479"/>
    </row>
    <row r="86" spans="1:17" ht="15.75" thickBot="1">
      <c r="C86" s="128"/>
      <c r="D86" s="47"/>
      <c r="E86" s="3"/>
      <c r="F86" s="3"/>
      <c r="G86" s="3"/>
      <c r="H86" s="3"/>
      <c r="I86" s="479"/>
      <c r="J86" s="479"/>
      <c r="K86" s="492"/>
      <c r="L86" s="479"/>
      <c r="M86" s="479"/>
      <c r="N86" s="479"/>
      <c r="O86" s="479"/>
    </row>
    <row r="87" spans="1:17" ht="15.75">
      <c r="C87" s="440" t="s">
        <v>95</v>
      </c>
      <c r="D87" s="47"/>
      <c r="E87" s="3"/>
      <c r="F87" s="3"/>
      <c r="G87" s="3"/>
      <c r="H87" s="555"/>
      <c r="I87" s="3" t="s">
        <v>74</v>
      </c>
      <c r="J87" s="3"/>
      <c r="K87" s="3"/>
      <c r="L87" s="582">
        <f>+J93</f>
        <v>2016</v>
      </c>
      <c r="M87" s="565" t="s">
        <v>52</v>
      </c>
      <c r="N87" s="565" t="s">
        <v>53</v>
      </c>
      <c r="O87" s="566" t="s">
        <v>55</v>
      </c>
    </row>
    <row r="88" spans="1:17" ht="15.75">
      <c r="C88" s="440"/>
      <c r="D88" s="47"/>
      <c r="E88" s="3"/>
      <c r="F88" s="3"/>
      <c r="H88" s="3"/>
      <c r="I88" s="502"/>
      <c r="J88" s="502"/>
      <c r="K88" s="503"/>
      <c r="L88" s="583" t="s">
        <v>243</v>
      </c>
      <c r="M88" s="584" t="e">
        <f>VLOOKUP(J93,C100:P159,10)</f>
        <v>#N/A</v>
      </c>
      <c r="N88" s="584" t="e">
        <f>VLOOKUP(J93,C100:P159,12)</f>
        <v>#N/A</v>
      </c>
      <c r="O88" s="585" t="e">
        <f>+N88-M88</f>
        <v>#N/A</v>
      </c>
    </row>
    <row r="89" spans="1:17">
      <c r="C89" s="507" t="s">
        <v>96</v>
      </c>
      <c r="D89" s="1196"/>
      <c r="E89" s="1196"/>
      <c r="F89" s="1196"/>
      <c r="G89" s="1196"/>
      <c r="H89" s="1196"/>
      <c r="I89" s="1196"/>
      <c r="J89" s="479"/>
      <c r="K89" s="492"/>
      <c r="L89" s="583" t="s">
        <v>244</v>
      </c>
      <c r="M89" s="586" t="e">
        <f>VLOOKUP(J93,C100:P159,6)</f>
        <v>#N/A</v>
      </c>
      <c r="N89" s="586" t="e">
        <f>VLOOKUP(J93,C100:P159,7)</f>
        <v>#N/A</v>
      </c>
      <c r="O89" s="587" t="e">
        <f>+N89-M89</f>
        <v>#N/A</v>
      </c>
    </row>
    <row r="90" spans="1:17" ht="13.5" thickBot="1">
      <c r="C90" s="511"/>
      <c r="D90" s="512"/>
      <c r="E90" s="495"/>
      <c r="F90" s="495"/>
      <c r="G90" s="495"/>
      <c r="H90" s="513"/>
      <c r="I90" s="479"/>
      <c r="J90" s="479"/>
      <c r="K90" s="492"/>
      <c r="L90" s="522" t="s">
        <v>245</v>
      </c>
      <c r="M90" s="588" t="e">
        <f>+M89-M88</f>
        <v>#N/A</v>
      </c>
      <c r="N90" s="588" t="e">
        <f>+N89-N88</f>
        <v>#N/A</v>
      </c>
      <c r="O90" s="589" t="e">
        <f>+O89-O88</f>
        <v>#N/A</v>
      </c>
    </row>
    <row r="91" spans="1:17" ht="13.5" thickBot="1">
      <c r="C91" s="511"/>
      <c r="D91" s="3"/>
      <c r="E91" s="513"/>
      <c r="F91" s="513"/>
      <c r="G91" s="513"/>
      <c r="H91" s="513"/>
      <c r="I91" s="513"/>
      <c r="J91" s="513"/>
      <c r="K91" s="513"/>
      <c r="L91" s="513"/>
      <c r="M91" s="513"/>
      <c r="N91" s="513"/>
      <c r="O91" s="513"/>
    </row>
    <row r="92" spans="1:17" ht="13.5" thickBot="1">
      <c r="C92" s="514" t="s">
        <v>97</v>
      </c>
      <c r="D92" s="515"/>
      <c r="E92" s="515"/>
      <c r="F92" s="515"/>
      <c r="G92" s="515"/>
      <c r="H92" s="515"/>
      <c r="I92" s="515"/>
      <c r="J92" s="515"/>
    </row>
    <row r="93" spans="1:17" ht="15">
      <c r="C93" s="517" t="s">
        <v>75</v>
      </c>
      <c r="D93" s="557"/>
      <c r="E93" s="3" t="s">
        <v>76</v>
      </c>
      <c r="H93" s="47"/>
      <c r="I93" s="47"/>
      <c r="J93" s="518">
        <v>2016</v>
      </c>
      <c r="K93" s="70"/>
      <c r="L93" s="1186" t="s">
        <v>77</v>
      </c>
      <c r="M93" s="1186"/>
      <c r="N93" s="1186"/>
      <c r="O93" s="1186"/>
    </row>
    <row r="94" spans="1:17">
      <c r="C94" s="517" t="s">
        <v>78</v>
      </c>
      <c r="D94" s="558"/>
      <c r="E94" s="517" t="s">
        <v>79</v>
      </c>
      <c r="F94" s="47"/>
      <c r="G94" s="47"/>
      <c r="I94"/>
      <c r="J94" s="559">
        <f>IF(H87="",0,$F$17)</f>
        <v>0</v>
      </c>
      <c r="K94" s="519"/>
      <c r="L94" s="492" t="s">
        <v>285</v>
      </c>
    </row>
    <row r="95" spans="1:17">
      <c r="C95" s="517" t="s">
        <v>80</v>
      </c>
      <c r="D95" s="557"/>
      <c r="E95" s="517" t="s">
        <v>81</v>
      </c>
      <c r="F95" s="47"/>
      <c r="G95" s="47"/>
      <c r="I95"/>
      <c r="J95" s="520">
        <f>$F$70</f>
        <v>0.11191367266500543</v>
      </c>
      <c r="K95" s="478"/>
      <c r="L95" s="3" t="str">
        <f>"          INPUT TRUE-UP ARR (WITH &amp; WITHOUT INCENTIVES) FROM EACH PRIOR YEAR"</f>
        <v xml:space="preserve">          INPUT TRUE-UP ARR (WITH &amp; WITHOUT INCENTIVES) FROM EACH PRIOR YEAR</v>
      </c>
    </row>
    <row r="96" spans="1:17">
      <c r="C96" s="517" t="s">
        <v>82</v>
      </c>
      <c r="D96" s="521">
        <f>H$79</f>
        <v>36</v>
      </c>
      <c r="E96" s="517" t="s">
        <v>83</v>
      </c>
      <c r="F96" s="47"/>
      <c r="G96" s="47"/>
      <c r="I96"/>
      <c r="J96" s="520">
        <f>IF(H87="",+J95,$F$69)</f>
        <v>0.11191367266500543</v>
      </c>
      <c r="K96" s="478"/>
      <c r="L96" s="3" t="s">
        <v>165</v>
      </c>
      <c r="M96" s="478"/>
      <c r="N96" s="478"/>
      <c r="O96" s="478"/>
    </row>
    <row r="97" spans="2:16" ht="13.5" thickBot="1">
      <c r="C97" s="517" t="s">
        <v>84</v>
      </c>
      <c r="D97" s="556"/>
      <c r="E97" s="522" t="s">
        <v>85</v>
      </c>
      <c r="F97" s="523"/>
      <c r="G97" s="523"/>
      <c r="H97" s="524"/>
      <c r="I97" s="524"/>
      <c r="J97" s="510">
        <f>IF(D93=0,0,D93/D96)</f>
        <v>0</v>
      </c>
      <c r="K97" s="492"/>
      <c r="L97" s="492" t="s">
        <v>166</v>
      </c>
      <c r="M97" s="492"/>
      <c r="N97" s="492"/>
      <c r="O97" s="492"/>
    </row>
    <row r="98" spans="2:16" ht="38.25">
      <c r="B98" s="439"/>
      <c r="C98" s="525" t="s">
        <v>75</v>
      </c>
      <c r="D98" s="526" t="s">
        <v>86</v>
      </c>
      <c r="E98" s="527" t="s">
        <v>87</v>
      </c>
      <c r="F98" s="526" t="s">
        <v>88</v>
      </c>
      <c r="G98" s="526" t="s">
        <v>246</v>
      </c>
      <c r="H98" s="527" t="s">
        <v>159</v>
      </c>
      <c r="I98" s="528" t="s">
        <v>159</v>
      </c>
      <c r="J98" s="525" t="s">
        <v>98</v>
      </c>
      <c r="K98" s="529"/>
      <c r="L98" s="527" t="s">
        <v>161</v>
      </c>
      <c r="M98" s="527" t="s">
        <v>167</v>
      </c>
      <c r="N98" s="527" t="s">
        <v>161</v>
      </c>
      <c r="O98" s="527" t="s">
        <v>169</v>
      </c>
      <c r="P98" s="527" t="s">
        <v>89</v>
      </c>
    </row>
    <row r="99" spans="2:16" ht="13.5" thickBot="1">
      <c r="C99" s="531" t="s">
        <v>475</v>
      </c>
      <c r="D99" s="532" t="s">
        <v>476</v>
      </c>
      <c r="E99" s="531" t="s">
        <v>369</v>
      </c>
      <c r="F99" s="532" t="s">
        <v>476</v>
      </c>
      <c r="G99" s="532" t="s">
        <v>476</v>
      </c>
      <c r="H99" s="533" t="s">
        <v>101</v>
      </c>
      <c r="I99" s="534" t="s">
        <v>103</v>
      </c>
      <c r="J99" s="531" t="s">
        <v>15</v>
      </c>
      <c r="K99" s="535"/>
      <c r="L99" s="533" t="s">
        <v>90</v>
      </c>
      <c r="M99" s="533" t="s">
        <v>90</v>
      </c>
      <c r="N99" s="533" t="s">
        <v>263</v>
      </c>
      <c r="O99" s="533" t="s">
        <v>263</v>
      </c>
      <c r="P99" s="533" t="s">
        <v>263</v>
      </c>
    </row>
    <row r="100" spans="2:16">
      <c r="C100" s="537" t="str">
        <f>IF(D94= "","-",D94)</f>
        <v>-</v>
      </c>
      <c r="D100" s="495">
        <f>+D93</f>
        <v>0</v>
      </c>
      <c r="E100" s="543">
        <f>+J97/12*(12-D95)</f>
        <v>0</v>
      </c>
      <c r="F100" s="590">
        <f t="shared" ref="F100:F159" si="0">+D100-E100</f>
        <v>0</v>
      </c>
      <c r="G100" s="495">
        <f>+(D100+F100)/2</f>
        <v>0</v>
      </c>
      <c r="H100" s="539">
        <f>+J95*G100+E100</f>
        <v>0</v>
      </c>
      <c r="I100" s="540">
        <f>+J96*G100+E100</f>
        <v>0</v>
      </c>
      <c r="J100" s="541">
        <f>+I100-H100</f>
        <v>0</v>
      </c>
      <c r="K100" s="541"/>
      <c r="L100" s="560"/>
      <c r="M100" s="591">
        <f t="shared" ref="M100:M159" si="1">IF(L100&lt;&gt;0,+H100-L100,0)</f>
        <v>0</v>
      </c>
      <c r="N100" s="560"/>
      <c r="O100" s="591">
        <f t="shared" ref="O100:O159" si="2">IF(N100&lt;&gt;0,+I100-N100,0)</f>
        <v>0</v>
      </c>
      <c r="P100" s="591">
        <f t="shared" ref="P100:P159" si="3">+O100-M100</f>
        <v>0</v>
      </c>
    </row>
    <row r="101" spans="2:16">
      <c r="C101" s="537" t="str">
        <f>IF(D94="","-",+C100+1)</f>
        <v>-</v>
      </c>
      <c r="D101" s="495">
        <f t="shared" ref="D101:D159" si="4">F100</f>
        <v>0</v>
      </c>
      <c r="E101" s="538">
        <f>IF(D101&gt;$J$97,$J$97,D101)</f>
        <v>0</v>
      </c>
      <c r="F101" s="538">
        <f t="shared" si="0"/>
        <v>0</v>
      </c>
      <c r="G101" s="495">
        <f t="shared" ref="G101:G159" si="5">+(D101+F101)/2</f>
        <v>0</v>
      </c>
      <c r="H101" s="543">
        <f>+J95*G101+E101</f>
        <v>0</v>
      </c>
      <c r="I101" s="544">
        <f>+J96*G101+E101</f>
        <v>0</v>
      </c>
      <c r="J101" s="541">
        <f>+I101-H101</f>
        <v>0</v>
      </c>
      <c r="K101" s="541"/>
      <c r="L101" s="561"/>
      <c r="M101" s="541">
        <f t="shared" si="1"/>
        <v>0</v>
      </c>
      <c r="N101" s="561"/>
      <c r="O101" s="541">
        <f t="shared" si="2"/>
        <v>0</v>
      </c>
      <c r="P101" s="541">
        <f t="shared" si="3"/>
        <v>0</v>
      </c>
    </row>
    <row r="102" spans="2:16">
      <c r="C102" s="537" t="str">
        <f>IF(D94="","-",+C101+1)</f>
        <v>-</v>
      </c>
      <c r="D102" s="495">
        <f t="shared" si="4"/>
        <v>0</v>
      </c>
      <c r="E102" s="538">
        <f t="shared" ref="E102:E159" si="6">IF(D102&gt;$J$97,$J$97,D102)</f>
        <v>0</v>
      </c>
      <c r="F102" s="538">
        <f t="shared" si="0"/>
        <v>0</v>
      </c>
      <c r="G102" s="495">
        <f t="shared" si="5"/>
        <v>0</v>
      </c>
      <c r="H102" s="543">
        <f>+J95*G102+E102</f>
        <v>0</v>
      </c>
      <c r="I102" s="544">
        <f>+J96*G102+E102</f>
        <v>0</v>
      </c>
      <c r="J102" s="541">
        <f t="shared" ref="J102:J159" si="7">+I102-H102</f>
        <v>0</v>
      </c>
      <c r="K102" s="541"/>
      <c r="L102" s="561"/>
      <c r="M102" s="541">
        <f t="shared" si="1"/>
        <v>0</v>
      </c>
      <c r="N102" s="561"/>
      <c r="O102" s="541">
        <f t="shared" si="2"/>
        <v>0</v>
      </c>
      <c r="P102" s="541">
        <f t="shared" si="3"/>
        <v>0</v>
      </c>
    </row>
    <row r="103" spans="2:16">
      <c r="C103" s="537" t="str">
        <f>IF(D94="","-",+C102+1)</f>
        <v>-</v>
      </c>
      <c r="D103" s="495">
        <f t="shared" si="4"/>
        <v>0</v>
      </c>
      <c r="E103" s="538">
        <f t="shared" si="6"/>
        <v>0</v>
      </c>
      <c r="F103" s="538">
        <f t="shared" si="0"/>
        <v>0</v>
      </c>
      <c r="G103" s="495">
        <f t="shared" si="5"/>
        <v>0</v>
      </c>
      <c r="H103" s="543">
        <f>+J95*G103+E103</f>
        <v>0</v>
      </c>
      <c r="I103" s="544">
        <f>+J96*G103+E103</f>
        <v>0</v>
      </c>
      <c r="J103" s="541">
        <f t="shared" si="7"/>
        <v>0</v>
      </c>
      <c r="K103" s="541"/>
      <c r="L103" s="561"/>
      <c r="M103" s="541">
        <f t="shared" si="1"/>
        <v>0</v>
      </c>
      <c r="N103" s="561"/>
      <c r="O103" s="541">
        <f t="shared" si="2"/>
        <v>0</v>
      </c>
      <c r="P103" s="541">
        <f t="shared" si="3"/>
        <v>0</v>
      </c>
    </row>
    <row r="104" spans="2:16">
      <c r="C104" s="537" t="str">
        <f>IF(D94="","-",+C103+1)</f>
        <v>-</v>
      </c>
      <c r="D104" s="495">
        <f t="shared" si="4"/>
        <v>0</v>
      </c>
      <c r="E104" s="538">
        <f t="shared" si="6"/>
        <v>0</v>
      </c>
      <c r="F104" s="538">
        <f t="shared" si="0"/>
        <v>0</v>
      </c>
      <c r="G104" s="495">
        <f t="shared" si="5"/>
        <v>0</v>
      </c>
      <c r="H104" s="543">
        <f>+J95*G104+E104</f>
        <v>0</v>
      </c>
      <c r="I104" s="544">
        <f>+J96*G104+E104</f>
        <v>0</v>
      </c>
      <c r="J104" s="541">
        <f t="shared" si="7"/>
        <v>0</v>
      </c>
      <c r="K104" s="541"/>
      <c r="L104" s="561"/>
      <c r="M104" s="541">
        <f t="shared" si="1"/>
        <v>0</v>
      </c>
      <c r="N104" s="561"/>
      <c r="O104" s="541">
        <f t="shared" si="2"/>
        <v>0</v>
      </c>
      <c r="P104" s="541">
        <f t="shared" si="3"/>
        <v>0</v>
      </c>
    </row>
    <row r="105" spans="2:16">
      <c r="C105" s="537" t="str">
        <f>IF(D94="","-",+C104+1)</f>
        <v>-</v>
      </c>
      <c r="D105" s="495">
        <f t="shared" si="4"/>
        <v>0</v>
      </c>
      <c r="E105" s="538">
        <f t="shared" si="6"/>
        <v>0</v>
      </c>
      <c r="F105" s="538">
        <f t="shared" si="0"/>
        <v>0</v>
      </c>
      <c r="G105" s="495">
        <f t="shared" si="5"/>
        <v>0</v>
      </c>
      <c r="H105" s="543">
        <f>+J95*G105+E105</f>
        <v>0</v>
      </c>
      <c r="I105" s="544">
        <f>+J96*G105+E105</f>
        <v>0</v>
      </c>
      <c r="J105" s="541">
        <f t="shared" si="7"/>
        <v>0</v>
      </c>
      <c r="K105" s="541"/>
      <c r="L105" s="561"/>
      <c r="M105" s="541">
        <f t="shared" si="1"/>
        <v>0</v>
      </c>
      <c r="N105" s="561"/>
      <c r="O105" s="541">
        <f t="shared" si="2"/>
        <v>0</v>
      </c>
      <c r="P105" s="541">
        <f t="shared" si="3"/>
        <v>0</v>
      </c>
    </row>
    <row r="106" spans="2:16">
      <c r="C106" s="537" t="str">
        <f>IF(D94="","-",+C105+1)</f>
        <v>-</v>
      </c>
      <c r="D106" s="495">
        <f t="shared" si="4"/>
        <v>0</v>
      </c>
      <c r="E106" s="538">
        <f t="shared" si="6"/>
        <v>0</v>
      </c>
      <c r="F106" s="538">
        <f t="shared" si="0"/>
        <v>0</v>
      </c>
      <c r="G106" s="495">
        <f t="shared" si="5"/>
        <v>0</v>
      </c>
      <c r="H106" s="543">
        <f>+J95*G106+E106</f>
        <v>0</v>
      </c>
      <c r="I106" s="544">
        <f>+J96*G106+E106</f>
        <v>0</v>
      </c>
      <c r="J106" s="541">
        <f t="shared" si="7"/>
        <v>0</v>
      </c>
      <c r="K106" s="541"/>
      <c r="L106" s="561"/>
      <c r="M106" s="541">
        <f t="shared" si="1"/>
        <v>0</v>
      </c>
      <c r="N106" s="561"/>
      <c r="O106" s="541">
        <f t="shared" si="2"/>
        <v>0</v>
      </c>
      <c r="P106" s="541">
        <f t="shared" si="3"/>
        <v>0</v>
      </c>
    </row>
    <row r="107" spans="2:16">
      <c r="C107" s="537" t="str">
        <f>IF(D94="","-",+C106+1)</f>
        <v>-</v>
      </c>
      <c r="D107" s="495">
        <f t="shared" si="4"/>
        <v>0</v>
      </c>
      <c r="E107" s="538">
        <f t="shared" si="6"/>
        <v>0</v>
      </c>
      <c r="F107" s="538">
        <f t="shared" si="0"/>
        <v>0</v>
      </c>
      <c r="G107" s="495">
        <f t="shared" si="5"/>
        <v>0</v>
      </c>
      <c r="H107" s="543">
        <f>+J95*G107+E107</f>
        <v>0</v>
      </c>
      <c r="I107" s="544">
        <f>+J96*G107+E107</f>
        <v>0</v>
      </c>
      <c r="J107" s="541">
        <f t="shared" si="7"/>
        <v>0</v>
      </c>
      <c r="K107" s="541"/>
      <c r="L107" s="561"/>
      <c r="M107" s="541">
        <f t="shared" si="1"/>
        <v>0</v>
      </c>
      <c r="N107" s="561"/>
      <c r="O107" s="541">
        <f t="shared" si="2"/>
        <v>0</v>
      </c>
      <c r="P107" s="541">
        <f t="shared" si="3"/>
        <v>0</v>
      </c>
    </row>
    <row r="108" spans="2:16">
      <c r="C108" s="537" t="str">
        <f>IF(D94="","-",+C107+1)</f>
        <v>-</v>
      </c>
      <c r="D108" s="495">
        <f t="shared" si="4"/>
        <v>0</v>
      </c>
      <c r="E108" s="538">
        <f t="shared" si="6"/>
        <v>0</v>
      </c>
      <c r="F108" s="538">
        <f t="shared" si="0"/>
        <v>0</v>
      </c>
      <c r="G108" s="495">
        <f t="shared" si="5"/>
        <v>0</v>
      </c>
      <c r="H108" s="543">
        <f>+J95*G108+E108</f>
        <v>0</v>
      </c>
      <c r="I108" s="544">
        <f>+J96*G108+E108</f>
        <v>0</v>
      </c>
      <c r="J108" s="541">
        <f t="shared" si="7"/>
        <v>0</v>
      </c>
      <c r="K108" s="541"/>
      <c r="L108" s="561"/>
      <c r="M108" s="541">
        <f t="shared" si="1"/>
        <v>0</v>
      </c>
      <c r="N108" s="561"/>
      <c r="O108" s="541">
        <f t="shared" si="2"/>
        <v>0</v>
      </c>
      <c r="P108" s="541">
        <f t="shared" si="3"/>
        <v>0</v>
      </c>
    </row>
    <row r="109" spans="2:16">
      <c r="C109" s="537" t="str">
        <f>IF(D94="","-",+C108+1)</f>
        <v>-</v>
      </c>
      <c r="D109" s="495">
        <f t="shared" si="4"/>
        <v>0</v>
      </c>
      <c r="E109" s="538">
        <f t="shared" si="6"/>
        <v>0</v>
      </c>
      <c r="F109" s="538">
        <f t="shared" si="0"/>
        <v>0</v>
      </c>
      <c r="G109" s="495">
        <f t="shared" si="5"/>
        <v>0</v>
      </c>
      <c r="H109" s="543">
        <f>+J95*G109+E109</f>
        <v>0</v>
      </c>
      <c r="I109" s="544">
        <f>+J96*G109+E109</f>
        <v>0</v>
      </c>
      <c r="J109" s="541">
        <f t="shared" si="7"/>
        <v>0</v>
      </c>
      <c r="K109" s="541"/>
      <c r="L109" s="561"/>
      <c r="M109" s="541">
        <f t="shared" si="1"/>
        <v>0</v>
      </c>
      <c r="N109" s="561"/>
      <c r="O109" s="541">
        <f t="shared" si="2"/>
        <v>0</v>
      </c>
      <c r="P109" s="541">
        <f t="shared" si="3"/>
        <v>0</v>
      </c>
    </row>
    <row r="110" spans="2:16">
      <c r="C110" s="537" t="str">
        <f>IF(D94="","-",+C109+1)</f>
        <v>-</v>
      </c>
      <c r="D110" s="495">
        <f t="shared" si="4"/>
        <v>0</v>
      </c>
      <c r="E110" s="538">
        <f t="shared" si="6"/>
        <v>0</v>
      </c>
      <c r="F110" s="538">
        <f t="shared" si="0"/>
        <v>0</v>
      </c>
      <c r="G110" s="495">
        <f t="shared" si="5"/>
        <v>0</v>
      </c>
      <c r="H110" s="543">
        <f>+J95*G110+E110</f>
        <v>0</v>
      </c>
      <c r="I110" s="544">
        <f>+J96*G110+E110</f>
        <v>0</v>
      </c>
      <c r="J110" s="541">
        <f t="shared" si="7"/>
        <v>0</v>
      </c>
      <c r="K110" s="541"/>
      <c r="L110" s="561"/>
      <c r="M110" s="541">
        <f t="shared" si="1"/>
        <v>0</v>
      </c>
      <c r="N110" s="561"/>
      <c r="O110" s="541">
        <f t="shared" si="2"/>
        <v>0</v>
      </c>
      <c r="P110" s="541">
        <f t="shared" si="3"/>
        <v>0</v>
      </c>
    </row>
    <row r="111" spans="2:16">
      <c r="C111" s="537" t="str">
        <f>IF(D94="","-",+C110+1)</f>
        <v>-</v>
      </c>
      <c r="D111" s="495">
        <f t="shared" si="4"/>
        <v>0</v>
      </c>
      <c r="E111" s="538">
        <f t="shared" si="6"/>
        <v>0</v>
      </c>
      <c r="F111" s="538">
        <f t="shared" si="0"/>
        <v>0</v>
      </c>
      <c r="G111" s="495">
        <f t="shared" si="5"/>
        <v>0</v>
      </c>
      <c r="H111" s="543">
        <f>+J95*G111+E111</f>
        <v>0</v>
      </c>
      <c r="I111" s="544">
        <f>+J96*G111+E111</f>
        <v>0</v>
      </c>
      <c r="J111" s="541">
        <f t="shared" si="7"/>
        <v>0</v>
      </c>
      <c r="K111" s="541"/>
      <c r="L111" s="561"/>
      <c r="M111" s="541">
        <f t="shared" si="1"/>
        <v>0</v>
      </c>
      <c r="N111" s="561"/>
      <c r="O111" s="541">
        <f t="shared" si="2"/>
        <v>0</v>
      </c>
      <c r="P111" s="541">
        <f t="shared" si="3"/>
        <v>0</v>
      </c>
    </row>
    <row r="112" spans="2:16">
      <c r="C112" s="537" t="str">
        <f>IF(D94="","-",+C111+1)</f>
        <v>-</v>
      </c>
      <c r="D112" s="495">
        <f t="shared" si="4"/>
        <v>0</v>
      </c>
      <c r="E112" s="538">
        <f t="shared" si="6"/>
        <v>0</v>
      </c>
      <c r="F112" s="538">
        <f t="shared" si="0"/>
        <v>0</v>
      </c>
      <c r="G112" s="495">
        <f t="shared" si="5"/>
        <v>0</v>
      </c>
      <c r="H112" s="543">
        <f>+J95*G112+E112</f>
        <v>0</v>
      </c>
      <c r="I112" s="544">
        <f>+J96*G112+E112</f>
        <v>0</v>
      </c>
      <c r="J112" s="541">
        <f t="shared" si="7"/>
        <v>0</v>
      </c>
      <c r="K112" s="541"/>
      <c r="L112" s="561"/>
      <c r="M112" s="541">
        <f t="shared" si="1"/>
        <v>0</v>
      </c>
      <c r="N112" s="561"/>
      <c r="O112" s="541">
        <f t="shared" si="2"/>
        <v>0</v>
      </c>
      <c r="P112" s="541">
        <f t="shared" si="3"/>
        <v>0</v>
      </c>
    </row>
    <row r="113" spans="3:16">
      <c r="C113" s="537" t="str">
        <f>IF(D94="","-",+C112+1)</f>
        <v>-</v>
      </c>
      <c r="D113" s="495">
        <f t="shared" si="4"/>
        <v>0</v>
      </c>
      <c r="E113" s="538">
        <f t="shared" si="6"/>
        <v>0</v>
      </c>
      <c r="F113" s="538">
        <f t="shared" si="0"/>
        <v>0</v>
      </c>
      <c r="G113" s="495">
        <f t="shared" si="5"/>
        <v>0</v>
      </c>
      <c r="H113" s="543">
        <f>+J95*G113+E113</f>
        <v>0</v>
      </c>
      <c r="I113" s="544">
        <f>+J96*G113+E113</f>
        <v>0</v>
      </c>
      <c r="J113" s="541">
        <f t="shared" si="7"/>
        <v>0</v>
      </c>
      <c r="K113" s="541"/>
      <c r="L113" s="561"/>
      <c r="M113" s="541">
        <f t="shared" si="1"/>
        <v>0</v>
      </c>
      <c r="N113" s="561"/>
      <c r="O113" s="541">
        <f t="shared" si="2"/>
        <v>0</v>
      </c>
      <c r="P113" s="541">
        <f t="shared" si="3"/>
        <v>0</v>
      </c>
    </row>
    <row r="114" spans="3:16">
      <c r="C114" s="537" t="str">
        <f>IF(D94="","-",+C113+1)</f>
        <v>-</v>
      </c>
      <c r="D114" s="495">
        <f t="shared" si="4"/>
        <v>0</v>
      </c>
      <c r="E114" s="538">
        <f t="shared" si="6"/>
        <v>0</v>
      </c>
      <c r="F114" s="538">
        <f t="shared" si="0"/>
        <v>0</v>
      </c>
      <c r="G114" s="495">
        <f t="shared" si="5"/>
        <v>0</v>
      </c>
      <c r="H114" s="543">
        <f>+J95*G114+E114</f>
        <v>0</v>
      </c>
      <c r="I114" s="544">
        <f>+J96*G114+E114</f>
        <v>0</v>
      </c>
      <c r="J114" s="541">
        <f t="shared" si="7"/>
        <v>0</v>
      </c>
      <c r="K114" s="541"/>
      <c r="L114" s="561"/>
      <c r="M114" s="541">
        <f t="shared" si="1"/>
        <v>0</v>
      </c>
      <c r="N114" s="561"/>
      <c r="O114" s="541">
        <f t="shared" si="2"/>
        <v>0</v>
      </c>
      <c r="P114" s="541">
        <f t="shared" si="3"/>
        <v>0</v>
      </c>
    </row>
    <row r="115" spans="3:16">
      <c r="C115" s="537" t="str">
        <f>IF(D94="","-",+C114+1)</f>
        <v>-</v>
      </c>
      <c r="D115" s="495">
        <f t="shared" si="4"/>
        <v>0</v>
      </c>
      <c r="E115" s="538">
        <f t="shared" si="6"/>
        <v>0</v>
      </c>
      <c r="F115" s="538">
        <f t="shared" si="0"/>
        <v>0</v>
      </c>
      <c r="G115" s="495">
        <f t="shared" si="5"/>
        <v>0</v>
      </c>
      <c r="H115" s="543">
        <f>+J95*G115+E115</f>
        <v>0</v>
      </c>
      <c r="I115" s="544">
        <f>+J96*G115+E115</f>
        <v>0</v>
      </c>
      <c r="J115" s="541">
        <f t="shared" si="7"/>
        <v>0</v>
      </c>
      <c r="K115" s="541"/>
      <c r="L115" s="561"/>
      <c r="M115" s="541">
        <f t="shared" si="1"/>
        <v>0</v>
      </c>
      <c r="N115" s="561"/>
      <c r="O115" s="541">
        <f t="shared" si="2"/>
        <v>0</v>
      </c>
      <c r="P115" s="541">
        <f t="shared" si="3"/>
        <v>0</v>
      </c>
    </row>
    <row r="116" spans="3:16">
      <c r="C116" s="537" t="str">
        <f>IF(D94="","-",+C115+1)</f>
        <v>-</v>
      </c>
      <c r="D116" s="495">
        <f t="shared" si="4"/>
        <v>0</v>
      </c>
      <c r="E116" s="538">
        <f t="shared" si="6"/>
        <v>0</v>
      </c>
      <c r="F116" s="538">
        <f t="shared" si="0"/>
        <v>0</v>
      </c>
      <c r="G116" s="495">
        <f t="shared" si="5"/>
        <v>0</v>
      </c>
      <c r="H116" s="543">
        <f>+J95*G116+E116</f>
        <v>0</v>
      </c>
      <c r="I116" s="544">
        <f>+J96*G116+E116</f>
        <v>0</v>
      </c>
      <c r="J116" s="541">
        <f t="shared" si="7"/>
        <v>0</v>
      </c>
      <c r="K116" s="541"/>
      <c r="L116" s="561"/>
      <c r="M116" s="541">
        <f t="shared" si="1"/>
        <v>0</v>
      </c>
      <c r="N116" s="561"/>
      <c r="O116" s="541">
        <f t="shared" si="2"/>
        <v>0</v>
      </c>
      <c r="P116" s="541">
        <f t="shared" si="3"/>
        <v>0</v>
      </c>
    </row>
    <row r="117" spans="3:16">
      <c r="C117" s="537" t="str">
        <f>IF(D94="","-",+C116+1)</f>
        <v>-</v>
      </c>
      <c r="D117" s="495">
        <f t="shared" si="4"/>
        <v>0</v>
      </c>
      <c r="E117" s="538">
        <f t="shared" si="6"/>
        <v>0</v>
      </c>
      <c r="F117" s="538">
        <f t="shared" si="0"/>
        <v>0</v>
      </c>
      <c r="G117" s="495">
        <f t="shared" si="5"/>
        <v>0</v>
      </c>
      <c r="H117" s="543">
        <f>+J95*G117+E117</f>
        <v>0</v>
      </c>
      <c r="I117" s="544">
        <f>+J96*G117+E117</f>
        <v>0</v>
      </c>
      <c r="J117" s="541">
        <f t="shared" si="7"/>
        <v>0</v>
      </c>
      <c r="K117" s="541"/>
      <c r="L117" s="561"/>
      <c r="M117" s="541">
        <f t="shared" si="1"/>
        <v>0</v>
      </c>
      <c r="N117" s="561"/>
      <c r="O117" s="541">
        <f t="shared" si="2"/>
        <v>0</v>
      </c>
      <c r="P117" s="541">
        <f t="shared" si="3"/>
        <v>0</v>
      </c>
    </row>
    <row r="118" spans="3:16">
      <c r="C118" s="537" t="str">
        <f>IF(D94="","-",+C117+1)</f>
        <v>-</v>
      </c>
      <c r="D118" s="495">
        <f t="shared" si="4"/>
        <v>0</v>
      </c>
      <c r="E118" s="538">
        <f t="shared" si="6"/>
        <v>0</v>
      </c>
      <c r="F118" s="538">
        <f t="shared" si="0"/>
        <v>0</v>
      </c>
      <c r="G118" s="495">
        <f t="shared" si="5"/>
        <v>0</v>
      </c>
      <c r="H118" s="543">
        <f>+J95*G118+E118</f>
        <v>0</v>
      </c>
      <c r="I118" s="544">
        <f>+J96*G118+E118</f>
        <v>0</v>
      </c>
      <c r="J118" s="541">
        <f t="shared" si="7"/>
        <v>0</v>
      </c>
      <c r="K118" s="541"/>
      <c r="L118" s="561"/>
      <c r="M118" s="541">
        <f t="shared" si="1"/>
        <v>0</v>
      </c>
      <c r="N118" s="561"/>
      <c r="O118" s="541">
        <f t="shared" si="2"/>
        <v>0</v>
      </c>
      <c r="P118" s="541">
        <f t="shared" si="3"/>
        <v>0</v>
      </c>
    </row>
    <row r="119" spans="3:16">
      <c r="C119" s="537" t="str">
        <f>IF(D94="","-",+C118+1)</f>
        <v>-</v>
      </c>
      <c r="D119" s="495">
        <f t="shared" si="4"/>
        <v>0</v>
      </c>
      <c r="E119" s="538">
        <f t="shared" si="6"/>
        <v>0</v>
      </c>
      <c r="F119" s="538">
        <f t="shared" si="0"/>
        <v>0</v>
      </c>
      <c r="G119" s="495">
        <f t="shared" si="5"/>
        <v>0</v>
      </c>
      <c r="H119" s="543">
        <f>+J95*G119+E119</f>
        <v>0</v>
      </c>
      <c r="I119" s="544">
        <f>+J96*G119+E119</f>
        <v>0</v>
      </c>
      <c r="J119" s="541">
        <f t="shared" si="7"/>
        <v>0</v>
      </c>
      <c r="K119" s="541"/>
      <c r="L119" s="561"/>
      <c r="M119" s="541">
        <f t="shared" si="1"/>
        <v>0</v>
      </c>
      <c r="N119" s="561"/>
      <c r="O119" s="541">
        <f t="shared" si="2"/>
        <v>0</v>
      </c>
      <c r="P119" s="541">
        <f t="shared" si="3"/>
        <v>0</v>
      </c>
    </row>
    <row r="120" spans="3:16">
      <c r="C120" s="537" t="str">
        <f>IF(D94="","-",+C119+1)</f>
        <v>-</v>
      </c>
      <c r="D120" s="495">
        <f t="shared" si="4"/>
        <v>0</v>
      </c>
      <c r="E120" s="538">
        <f t="shared" si="6"/>
        <v>0</v>
      </c>
      <c r="F120" s="538">
        <f t="shared" si="0"/>
        <v>0</v>
      </c>
      <c r="G120" s="495">
        <f t="shared" si="5"/>
        <v>0</v>
      </c>
      <c r="H120" s="543">
        <f>+J95*G120+E120</f>
        <v>0</v>
      </c>
      <c r="I120" s="544">
        <f>+J96*G120+E120</f>
        <v>0</v>
      </c>
      <c r="J120" s="541">
        <f t="shared" si="7"/>
        <v>0</v>
      </c>
      <c r="K120" s="541"/>
      <c r="L120" s="561"/>
      <c r="M120" s="541">
        <f t="shared" si="1"/>
        <v>0</v>
      </c>
      <c r="N120" s="561"/>
      <c r="O120" s="541">
        <f t="shared" si="2"/>
        <v>0</v>
      </c>
      <c r="P120" s="541">
        <f t="shared" si="3"/>
        <v>0</v>
      </c>
    </row>
    <row r="121" spans="3:16">
      <c r="C121" s="537" t="str">
        <f>IF(D94="","-",+C120+1)</f>
        <v>-</v>
      </c>
      <c r="D121" s="495">
        <f t="shared" si="4"/>
        <v>0</v>
      </c>
      <c r="E121" s="538">
        <f t="shared" si="6"/>
        <v>0</v>
      </c>
      <c r="F121" s="538">
        <f t="shared" si="0"/>
        <v>0</v>
      </c>
      <c r="G121" s="495">
        <f t="shared" si="5"/>
        <v>0</v>
      </c>
      <c r="H121" s="543">
        <f>+J95*G121+E121</f>
        <v>0</v>
      </c>
      <c r="I121" s="544">
        <f>+J96*G121+E121</f>
        <v>0</v>
      </c>
      <c r="J121" s="541">
        <f t="shared" si="7"/>
        <v>0</v>
      </c>
      <c r="K121" s="541"/>
      <c r="L121" s="561"/>
      <c r="M121" s="541">
        <f t="shared" si="1"/>
        <v>0</v>
      </c>
      <c r="N121" s="561"/>
      <c r="O121" s="541">
        <f t="shared" si="2"/>
        <v>0</v>
      </c>
      <c r="P121" s="541">
        <f t="shared" si="3"/>
        <v>0</v>
      </c>
    </row>
    <row r="122" spans="3:16">
      <c r="C122" s="537" t="str">
        <f>IF(D94="","-",+C121+1)</f>
        <v>-</v>
      </c>
      <c r="D122" s="495">
        <f t="shared" si="4"/>
        <v>0</v>
      </c>
      <c r="E122" s="538">
        <f t="shared" si="6"/>
        <v>0</v>
      </c>
      <c r="F122" s="538">
        <f t="shared" si="0"/>
        <v>0</v>
      </c>
      <c r="G122" s="495">
        <f t="shared" si="5"/>
        <v>0</v>
      </c>
      <c r="H122" s="543">
        <f>+J95*G122+E122</f>
        <v>0</v>
      </c>
      <c r="I122" s="544">
        <f>+J96*G122+E122</f>
        <v>0</v>
      </c>
      <c r="J122" s="541">
        <f t="shared" si="7"/>
        <v>0</v>
      </c>
      <c r="K122" s="541"/>
      <c r="L122" s="561"/>
      <c r="M122" s="541">
        <f t="shared" si="1"/>
        <v>0</v>
      </c>
      <c r="N122" s="561"/>
      <c r="O122" s="541">
        <f t="shared" si="2"/>
        <v>0</v>
      </c>
      <c r="P122" s="541">
        <f t="shared" si="3"/>
        <v>0</v>
      </c>
    </row>
    <row r="123" spans="3:16">
      <c r="C123" s="537" t="str">
        <f>IF(D94="","-",+C122+1)</f>
        <v>-</v>
      </c>
      <c r="D123" s="495">
        <f t="shared" si="4"/>
        <v>0</v>
      </c>
      <c r="E123" s="538">
        <f t="shared" si="6"/>
        <v>0</v>
      </c>
      <c r="F123" s="538">
        <f t="shared" si="0"/>
        <v>0</v>
      </c>
      <c r="G123" s="495">
        <f t="shared" si="5"/>
        <v>0</v>
      </c>
      <c r="H123" s="543">
        <f>+J95*G123+E123</f>
        <v>0</v>
      </c>
      <c r="I123" s="544">
        <f>+J96*G123+E123</f>
        <v>0</v>
      </c>
      <c r="J123" s="541">
        <f t="shared" si="7"/>
        <v>0</v>
      </c>
      <c r="K123" s="541"/>
      <c r="L123" s="561"/>
      <c r="M123" s="541">
        <f t="shared" si="1"/>
        <v>0</v>
      </c>
      <c r="N123" s="561"/>
      <c r="O123" s="541">
        <f t="shared" si="2"/>
        <v>0</v>
      </c>
      <c r="P123" s="541">
        <f t="shared" si="3"/>
        <v>0</v>
      </c>
    </row>
    <row r="124" spans="3:16">
      <c r="C124" s="537" t="str">
        <f>IF(D94="","-",+C123+1)</f>
        <v>-</v>
      </c>
      <c r="D124" s="495">
        <f t="shared" si="4"/>
        <v>0</v>
      </c>
      <c r="E124" s="538">
        <f t="shared" si="6"/>
        <v>0</v>
      </c>
      <c r="F124" s="538">
        <f t="shared" si="0"/>
        <v>0</v>
      </c>
      <c r="G124" s="495">
        <f t="shared" si="5"/>
        <v>0</v>
      </c>
      <c r="H124" s="543">
        <f>+J95*G124+E124</f>
        <v>0</v>
      </c>
      <c r="I124" s="544">
        <f>+J96*G124+E124</f>
        <v>0</v>
      </c>
      <c r="J124" s="541">
        <f t="shared" si="7"/>
        <v>0</v>
      </c>
      <c r="K124" s="541"/>
      <c r="L124" s="561"/>
      <c r="M124" s="541">
        <f t="shared" si="1"/>
        <v>0</v>
      </c>
      <c r="N124" s="561"/>
      <c r="O124" s="541">
        <f t="shared" si="2"/>
        <v>0</v>
      </c>
      <c r="P124" s="541">
        <f t="shared" si="3"/>
        <v>0</v>
      </c>
    </row>
    <row r="125" spans="3:16">
      <c r="C125" s="537" t="str">
        <f>IF(D94="","-",+C124+1)</f>
        <v>-</v>
      </c>
      <c r="D125" s="495">
        <f t="shared" si="4"/>
        <v>0</v>
      </c>
      <c r="E125" s="538">
        <f t="shared" si="6"/>
        <v>0</v>
      </c>
      <c r="F125" s="538">
        <f t="shared" si="0"/>
        <v>0</v>
      </c>
      <c r="G125" s="495">
        <f t="shared" si="5"/>
        <v>0</v>
      </c>
      <c r="H125" s="543">
        <f>+J95*G125+E125</f>
        <v>0</v>
      </c>
      <c r="I125" s="544">
        <f>+J96*G125+E125</f>
        <v>0</v>
      </c>
      <c r="J125" s="541">
        <f t="shared" si="7"/>
        <v>0</v>
      </c>
      <c r="K125" s="541"/>
      <c r="L125" s="561"/>
      <c r="M125" s="541">
        <f t="shared" si="1"/>
        <v>0</v>
      </c>
      <c r="N125" s="561"/>
      <c r="O125" s="541">
        <f t="shared" si="2"/>
        <v>0</v>
      </c>
      <c r="P125" s="541">
        <f t="shared" si="3"/>
        <v>0</v>
      </c>
    </row>
    <row r="126" spans="3:16">
      <c r="C126" s="537" t="str">
        <f>IF(D94="","-",+C125+1)</f>
        <v>-</v>
      </c>
      <c r="D126" s="495">
        <f t="shared" si="4"/>
        <v>0</v>
      </c>
      <c r="E126" s="538">
        <f t="shared" si="6"/>
        <v>0</v>
      </c>
      <c r="F126" s="538">
        <f t="shared" si="0"/>
        <v>0</v>
      </c>
      <c r="G126" s="495">
        <f t="shared" si="5"/>
        <v>0</v>
      </c>
      <c r="H126" s="543">
        <f>+J95*G126+E126</f>
        <v>0</v>
      </c>
      <c r="I126" s="544">
        <f>+J96*G126+E126</f>
        <v>0</v>
      </c>
      <c r="J126" s="541">
        <f t="shared" si="7"/>
        <v>0</v>
      </c>
      <c r="K126" s="541"/>
      <c r="L126" s="561"/>
      <c r="M126" s="541">
        <f t="shared" si="1"/>
        <v>0</v>
      </c>
      <c r="N126" s="561"/>
      <c r="O126" s="541">
        <f t="shared" si="2"/>
        <v>0</v>
      </c>
      <c r="P126" s="541">
        <f t="shared" si="3"/>
        <v>0</v>
      </c>
    </row>
    <row r="127" spans="3:16">
      <c r="C127" s="537" t="str">
        <f>IF(D94="","-",+C126+1)</f>
        <v>-</v>
      </c>
      <c r="D127" s="495">
        <f t="shared" si="4"/>
        <v>0</v>
      </c>
      <c r="E127" s="538">
        <f t="shared" si="6"/>
        <v>0</v>
      </c>
      <c r="F127" s="538">
        <f t="shared" si="0"/>
        <v>0</v>
      </c>
      <c r="G127" s="495">
        <f t="shared" si="5"/>
        <v>0</v>
      </c>
      <c r="H127" s="543">
        <f>+J95*G127+E127</f>
        <v>0</v>
      </c>
      <c r="I127" s="544">
        <f>+J96*G127+E127</f>
        <v>0</v>
      </c>
      <c r="J127" s="541">
        <f t="shared" si="7"/>
        <v>0</v>
      </c>
      <c r="K127" s="541"/>
      <c r="L127" s="561"/>
      <c r="M127" s="541">
        <f t="shared" si="1"/>
        <v>0</v>
      </c>
      <c r="N127" s="561"/>
      <c r="O127" s="541">
        <f t="shared" si="2"/>
        <v>0</v>
      </c>
      <c r="P127" s="541">
        <f t="shared" si="3"/>
        <v>0</v>
      </c>
    </row>
    <row r="128" spans="3:16">
      <c r="C128" s="537" t="str">
        <f>IF(D94="","-",+C127+1)</f>
        <v>-</v>
      </c>
      <c r="D128" s="495">
        <f t="shared" si="4"/>
        <v>0</v>
      </c>
      <c r="E128" s="538">
        <f t="shared" si="6"/>
        <v>0</v>
      </c>
      <c r="F128" s="538">
        <f t="shared" si="0"/>
        <v>0</v>
      </c>
      <c r="G128" s="495">
        <f t="shared" si="5"/>
        <v>0</v>
      </c>
      <c r="H128" s="543">
        <f>+J95*G128+E128</f>
        <v>0</v>
      </c>
      <c r="I128" s="544">
        <f>+J96*G128+E128</f>
        <v>0</v>
      </c>
      <c r="J128" s="541">
        <f t="shared" si="7"/>
        <v>0</v>
      </c>
      <c r="K128" s="541"/>
      <c r="L128" s="561"/>
      <c r="M128" s="541">
        <f t="shared" si="1"/>
        <v>0</v>
      </c>
      <c r="N128" s="561"/>
      <c r="O128" s="541">
        <f t="shared" si="2"/>
        <v>0</v>
      </c>
      <c r="P128" s="541">
        <f t="shared" si="3"/>
        <v>0</v>
      </c>
    </row>
    <row r="129" spans="3:16">
      <c r="C129" s="537" t="str">
        <f>IF(D94="","-",+C128+1)</f>
        <v>-</v>
      </c>
      <c r="D129" s="495">
        <f t="shared" si="4"/>
        <v>0</v>
      </c>
      <c r="E129" s="538">
        <f t="shared" si="6"/>
        <v>0</v>
      </c>
      <c r="F129" s="538">
        <f t="shared" si="0"/>
        <v>0</v>
      </c>
      <c r="G129" s="495">
        <f t="shared" si="5"/>
        <v>0</v>
      </c>
      <c r="H129" s="543">
        <f>+J95*G129+E129</f>
        <v>0</v>
      </c>
      <c r="I129" s="544">
        <f>+J96*G129+E129</f>
        <v>0</v>
      </c>
      <c r="J129" s="541">
        <f t="shared" si="7"/>
        <v>0</v>
      </c>
      <c r="K129" s="541"/>
      <c r="L129" s="561"/>
      <c r="M129" s="541">
        <f t="shared" si="1"/>
        <v>0</v>
      </c>
      <c r="N129" s="561"/>
      <c r="O129" s="541">
        <f t="shared" si="2"/>
        <v>0</v>
      </c>
      <c r="P129" s="541">
        <f t="shared" si="3"/>
        <v>0</v>
      </c>
    </row>
    <row r="130" spans="3:16">
      <c r="C130" s="537" t="str">
        <f>IF(D94="","-",+C129+1)</f>
        <v>-</v>
      </c>
      <c r="D130" s="495">
        <f t="shared" si="4"/>
        <v>0</v>
      </c>
      <c r="E130" s="538">
        <f t="shared" si="6"/>
        <v>0</v>
      </c>
      <c r="F130" s="538">
        <f t="shared" si="0"/>
        <v>0</v>
      </c>
      <c r="G130" s="495">
        <f t="shared" si="5"/>
        <v>0</v>
      </c>
      <c r="H130" s="543">
        <f>+J95*G130+E130</f>
        <v>0</v>
      </c>
      <c r="I130" s="544">
        <f>+J96*G130+E130</f>
        <v>0</v>
      </c>
      <c r="J130" s="541">
        <f t="shared" si="7"/>
        <v>0</v>
      </c>
      <c r="K130" s="541"/>
      <c r="L130" s="561"/>
      <c r="M130" s="541">
        <f t="shared" si="1"/>
        <v>0</v>
      </c>
      <c r="N130" s="561"/>
      <c r="O130" s="541">
        <f t="shared" si="2"/>
        <v>0</v>
      </c>
      <c r="P130" s="541">
        <f t="shared" si="3"/>
        <v>0</v>
      </c>
    </row>
    <row r="131" spans="3:16">
      <c r="C131" s="537" t="str">
        <f>IF(D94="","-",+C130+1)</f>
        <v>-</v>
      </c>
      <c r="D131" s="495">
        <f t="shared" si="4"/>
        <v>0</v>
      </c>
      <c r="E131" s="538">
        <f t="shared" si="6"/>
        <v>0</v>
      </c>
      <c r="F131" s="538">
        <f t="shared" si="0"/>
        <v>0</v>
      </c>
      <c r="G131" s="495">
        <f t="shared" si="5"/>
        <v>0</v>
      </c>
      <c r="H131" s="543">
        <f>+J95*G131+E131</f>
        <v>0</v>
      </c>
      <c r="I131" s="544">
        <f>+J96*G131+E131</f>
        <v>0</v>
      </c>
      <c r="J131" s="541">
        <f t="shared" si="7"/>
        <v>0</v>
      </c>
      <c r="K131" s="541"/>
      <c r="L131" s="561"/>
      <c r="M131" s="541">
        <f t="shared" si="1"/>
        <v>0</v>
      </c>
      <c r="N131" s="561"/>
      <c r="O131" s="541">
        <f t="shared" si="2"/>
        <v>0</v>
      </c>
      <c r="P131" s="541">
        <f t="shared" si="3"/>
        <v>0</v>
      </c>
    </row>
    <row r="132" spans="3:16">
      <c r="C132" s="537" t="str">
        <f>IF(D94="","-",+C131+1)</f>
        <v>-</v>
      </c>
      <c r="D132" s="495">
        <f t="shared" si="4"/>
        <v>0</v>
      </c>
      <c r="E132" s="538">
        <f t="shared" si="6"/>
        <v>0</v>
      </c>
      <c r="F132" s="538">
        <f t="shared" si="0"/>
        <v>0</v>
      </c>
      <c r="G132" s="495">
        <f t="shared" si="5"/>
        <v>0</v>
      </c>
      <c r="H132" s="543">
        <f>+J95*G132+E132</f>
        <v>0</v>
      </c>
      <c r="I132" s="544">
        <f>+J96*G132+E132</f>
        <v>0</v>
      </c>
      <c r="J132" s="541">
        <f t="shared" si="7"/>
        <v>0</v>
      </c>
      <c r="K132" s="541"/>
      <c r="L132" s="561"/>
      <c r="M132" s="541">
        <f t="shared" si="1"/>
        <v>0</v>
      </c>
      <c r="N132" s="561"/>
      <c r="O132" s="541">
        <f t="shared" si="2"/>
        <v>0</v>
      </c>
      <c r="P132" s="541">
        <f t="shared" si="3"/>
        <v>0</v>
      </c>
    </row>
    <row r="133" spans="3:16">
      <c r="C133" s="537" t="str">
        <f>IF(D94="","-",+C132+1)</f>
        <v>-</v>
      </c>
      <c r="D133" s="495">
        <f t="shared" si="4"/>
        <v>0</v>
      </c>
      <c r="E133" s="538">
        <f t="shared" si="6"/>
        <v>0</v>
      </c>
      <c r="F133" s="538">
        <f t="shared" si="0"/>
        <v>0</v>
      </c>
      <c r="G133" s="495">
        <f t="shared" si="5"/>
        <v>0</v>
      </c>
      <c r="H133" s="543">
        <f>+J95*G133+E133</f>
        <v>0</v>
      </c>
      <c r="I133" s="544">
        <f>+J96*G133+E133</f>
        <v>0</v>
      </c>
      <c r="J133" s="541">
        <f t="shared" si="7"/>
        <v>0</v>
      </c>
      <c r="K133" s="541"/>
      <c r="L133" s="561"/>
      <c r="M133" s="541">
        <f t="shared" si="1"/>
        <v>0</v>
      </c>
      <c r="N133" s="561"/>
      <c r="O133" s="541">
        <f t="shared" si="2"/>
        <v>0</v>
      </c>
      <c r="P133" s="541">
        <f t="shared" si="3"/>
        <v>0</v>
      </c>
    </row>
    <row r="134" spans="3:16">
      <c r="C134" s="537" t="str">
        <f>IF(D94="","-",+C133+1)</f>
        <v>-</v>
      </c>
      <c r="D134" s="495">
        <f t="shared" si="4"/>
        <v>0</v>
      </c>
      <c r="E134" s="538">
        <f t="shared" si="6"/>
        <v>0</v>
      </c>
      <c r="F134" s="538">
        <f t="shared" si="0"/>
        <v>0</v>
      </c>
      <c r="G134" s="495">
        <f t="shared" si="5"/>
        <v>0</v>
      </c>
      <c r="H134" s="543">
        <f>+J95*G134+E134</f>
        <v>0</v>
      </c>
      <c r="I134" s="544">
        <f>+J96*G134+E134</f>
        <v>0</v>
      </c>
      <c r="J134" s="541">
        <f t="shared" si="7"/>
        <v>0</v>
      </c>
      <c r="K134" s="541"/>
      <c r="L134" s="561"/>
      <c r="M134" s="541">
        <f t="shared" si="1"/>
        <v>0</v>
      </c>
      <c r="N134" s="561"/>
      <c r="O134" s="541">
        <f t="shared" si="2"/>
        <v>0</v>
      </c>
      <c r="P134" s="541">
        <f t="shared" si="3"/>
        <v>0</v>
      </c>
    </row>
    <row r="135" spans="3:16">
      <c r="C135" s="537" t="str">
        <f>IF(D94="","-",+C134+1)</f>
        <v>-</v>
      </c>
      <c r="D135" s="495">
        <f t="shared" si="4"/>
        <v>0</v>
      </c>
      <c r="E135" s="538">
        <f t="shared" si="6"/>
        <v>0</v>
      </c>
      <c r="F135" s="538">
        <f t="shared" si="0"/>
        <v>0</v>
      </c>
      <c r="G135" s="495">
        <f t="shared" si="5"/>
        <v>0</v>
      </c>
      <c r="H135" s="543">
        <f>+J95*G135+E135</f>
        <v>0</v>
      </c>
      <c r="I135" s="544">
        <f>+J96*G135+E135</f>
        <v>0</v>
      </c>
      <c r="J135" s="541">
        <f t="shared" si="7"/>
        <v>0</v>
      </c>
      <c r="K135" s="541"/>
      <c r="L135" s="561"/>
      <c r="M135" s="541">
        <f t="shared" si="1"/>
        <v>0</v>
      </c>
      <c r="N135" s="561"/>
      <c r="O135" s="541">
        <f t="shared" si="2"/>
        <v>0</v>
      </c>
      <c r="P135" s="541">
        <f t="shared" si="3"/>
        <v>0</v>
      </c>
    </row>
    <row r="136" spans="3:16">
      <c r="C136" s="537" t="str">
        <f>IF(D94="","-",+C135+1)</f>
        <v>-</v>
      </c>
      <c r="D136" s="495">
        <f t="shared" si="4"/>
        <v>0</v>
      </c>
      <c r="E136" s="538">
        <f t="shared" si="6"/>
        <v>0</v>
      </c>
      <c r="F136" s="538">
        <f t="shared" si="0"/>
        <v>0</v>
      </c>
      <c r="G136" s="495">
        <f t="shared" si="5"/>
        <v>0</v>
      </c>
      <c r="H136" s="543">
        <f>+J95*G136+E136</f>
        <v>0</v>
      </c>
      <c r="I136" s="544">
        <f>+J96*G136+E136</f>
        <v>0</v>
      </c>
      <c r="J136" s="541">
        <f t="shared" si="7"/>
        <v>0</v>
      </c>
      <c r="K136" s="541"/>
      <c r="L136" s="561"/>
      <c r="M136" s="541">
        <f t="shared" si="1"/>
        <v>0</v>
      </c>
      <c r="N136" s="561"/>
      <c r="O136" s="541">
        <f t="shared" si="2"/>
        <v>0</v>
      </c>
      <c r="P136" s="541">
        <f t="shared" si="3"/>
        <v>0</v>
      </c>
    </row>
    <row r="137" spans="3:16">
      <c r="C137" s="537" t="str">
        <f>IF(D94="","-",+C136+1)</f>
        <v>-</v>
      </c>
      <c r="D137" s="495">
        <f t="shared" si="4"/>
        <v>0</v>
      </c>
      <c r="E137" s="538">
        <f t="shared" si="6"/>
        <v>0</v>
      </c>
      <c r="F137" s="538">
        <f t="shared" si="0"/>
        <v>0</v>
      </c>
      <c r="G137" s="495">
        <f t="shared" si="5"/>
        <v>0</v>
      </c>
      <c r="H137" s="543">
        <f>+J95*G137+E137</f>
        <v>0</v>
      </c>
      <c r="I137" s="544">
        <f>+J96*G137+E137</f>
        <v>0</v>
      </c>
      <c r="J137" s="541">
        <f t="shared" si="7"/>
        <v>0</v>
      </c>
      <c r="K137" s="541"/>
      <c r="L137" s="561"/>
      <c r="M137" s="541">
        <f t="shared" si="1"/>
        <v>0</v>
      </c>
      <c r="N137" s="561"/>
      <c r="O137" s="541">
        <f t="shared" si="2"/>
        <v>0</v>
      </c>
      <c r="P137" s="541">
        <f t="shared" si="3"/>
        <v>0</v>
      </c>
    </row>
    <row r="138" spans="3:16">
      <c r="C138" s="537" t="str">
        <f>IF(D94="","-",+C137+1)</f>
        <v>-</v>
      </c>
      <c r="D138" s="495">
        <f t="shared" si="4"/>
        <v>0</v>
      </c>
      <c r="E138" s="538">
        <f t="shared" si="6"/>
        <v>0</v>
      </c>
      <c r="F138" s="538">
        <f t="shared" si="0"/>
        <v>0</v>
      </c>
      <c r="G138" s="495">
        <f t="shared" si="5"/>
        <v>0</v>
      </c>
      <c r="H138" s="543">
        <f>+J95*G138+E138</f>
        <v>0</v>
      </c>
      <c r="I138" s="544">
        <f>+J96*G138+E138</f>
        <v>0</v>
      </c>
      <c r="J138" s="541">
        <f t="shared" si="7"/>
        <v>0</v>
      </c>
      <c r="K138" s="541"/>
      <c r="L138" s="561"/>
      <c r="M138" s="541">
        <f t="shared" si="1"/>
        <v>0</v>
      </c>
      <c r="N138" s="561"/>
      <c r="O138" s="541">
        <f t="shared" si="2"/>
        <v>0</v>
      </c>
      <c r="P138" s="541">
        <f t="shared" si="3"/>
        <v>0</v>
      </c>
    </row>
    <row r="139" spans="3:16">
      <c r="C139" s="537" t="str">
        <f>IF(D94="","-",+C138+1)</f>
        <v>-</v>
      </c>
      <c r="D139" s="495">
        <f t="shared" si="4"/>
        <v>0</v>
      </c>
      <c r="E139" s="538">
        <f t="shared" si="6"/>
        <v>0</v>
      </c>
      <c r="F139" s="538">
        <f t="shared" si="0"/>
        <v>0</v>
      </c>
      <c r="G139" s="495">
        <f t="shared" si="5"/>
        <v>0</v>
      </c>
      <c r="H139" s="543">
        <f>+J95*G139+E139</f>
        <v>0</v>
      </c>
      <c r="I139" s="544">
        <f>+J96*G139+E139</f>
        <v>0</v>
      </c>
      <c r="J139" s="541">
        <f t="shared" si="7"/>
        <v>0</v>
      </c>
      <c r="K139" s="541"/>
      <c r="L139" s="561"/>
      <c r="M139" s="541">
        <f t="shared" si="1"/>
        <v>0</v>
      </c>
      <c r="N139" s="561"/>
      <c r="O139" s="541">
        <f t="shared" si="2"/>
        <v>0</v>
      </c>
      <c r="P139" s="541">
        <f t="shared" si="3"/>
        <v>0</v>
      </c>
    </row>
    <row r="140" spans="3:16">
      <c r="C140" s="537" t="str">
        <f>IF(D94="","-",+C139+1)</f>
        <v>-</v>
      </c>
      <c r="D140" s="495">
        <f t="shared" si="4"/>
        <v>0</v>
      </c>
      <c r="E140" s="538">
        <f t="shared" si="6"/>
        <v>0</v>
      </c>
      <c r="F140" s="538">
        <f t="shared" si="0"/>
        <v>0</v>
      </c>
      <c r="G140" s="495">
        <f t="shared" si="5"/>
        <v>0</v>
      </c>
      <c r="H140" s="543">
        <f>+J95*G140+E140</f>
        <v>0</v>
      </c>
      <c r="I140" s="544">
        <f>+J96*G140+E140</f>
        <v>0</v>
      </c>
      <c r="J140" s="541">
        <f t="shared" si="7"/>
        <v>0</v>
      </c>
      <c r="K140" s="541"/>
      <c r="L140" s="561"/>
      <c r="M140" s="541">
        <f t="shared" si="1"/>
        <v>0</v>
      </c>
      <c r="N140" s="561"/>
      <c r="O140" s="541">
        <f t="shared" si="2"/>
        <v>0</v>
      </c>
      <c r="P140" s="541">
        <f t="shared" si="3"/>
        <v>0</v>
      </c>
    </row>
    <row r="141" spans="3:16">
      <c r="C141" s="537" t="str">
        <f>IF(D94="","-",+C140+1)</f>
        <v>-</v>
      </c>
      <c r="D141" s="495">
        <f t="shared" si="4"/>
        <v>0</v>
      </c>
      <c r="E141" s="538">
        <f t="shared" si="6"/>
        <v>0</v>
      </c>
      <c r="F141" s="538">
        <f t="shared" si="0"/>
        <v>0</v>
      </c>
      <c r="G141" s="495">
        <f t="shared" si="5"/>
        <v>0</v>
      </c>
      <c r="H141" s="543">
        <f>+J95*G141+E141</f>
        <v>0</v>
      </c>
      <c r="I141" s="544">
        <f>+J96*G141+E141</f>
        <v>0</v>
      </c>
      <c r="J141" s="541">
        <f t="shared" si="7"/>
        <v>0</v>
      </c>
      <c r="K141" s="541"/>
      <c r="L141" s="561"/>
      <c r="M141" s="541">
        <f t="shared" si="1"/>
        <v>0</v>
      </c>
      <c r="N141" s="561"/>
      <c r="O141" s="541">
        <f t="shared" si="2"/>
        <v>0</v>
      </c>
      <c r="P141" s="541">
        <f t="shared" si="3"/>
        <v>0</v>
      </c>
    </row>
    <row r="142" spans="3:16">
      <c r="C142" s="537" t="str">
        <f>IF(D94="","-",+C141+1)</f>
        <v>-</v>
      </c>
      <c r="D142" s="495">
        <f t="shared" si="4"/>
        <v>0</v>
      </c>
      <c r="E142" s="538">
        <f t="shared" si="6"/>
        <v>0</v>
      </c>
      <c r="F142" s="538">
        <f t="shared" si="0"/>
        <v>0</v>
      </c>
      <c r="G142" s="495">
        <f t="shared" si="5"/>
        <v>0</v>
      </c>
      <c r="H142" s="543">
        <f>+J95*G142+E142</f>
        <v>0</v>
      </c>
      <c r="I142" s="544">
        <f>+J96*G142+E142</f>
        <v>0</v>
      </c>
      <c r="J142" s="541">
        <f t="shared" si="7"/>
        <v>0</v>
      </c>
      <c r="K142" s="541"/>
      <c r="L142" s="561"/>
      <c r="M142" s="541">
        <f t="shared" si="1"/>
        <v>0</v>
      </c>
      <c r="N142" s="561"/>
      <c r="O142" s="541">
        <f t="shared" si="2"/>
        <v>0</v>
      </c>
      <c r="P142" s="541">
        <f t="shared" si="3"/>
        <v>0</v>
      </c>
    </row>
    <row r="143" spans="3:16">
      <c r="C143" s="537" t="str">
        <f>IF(D94="","-",+C142+1)</f>
        <v>-</v>
      </c>
      <c r="D143" s="495">
        <f t="shared" si="4"/>
        <v>0</v>
      </c>
      <c r="E143" s="538">
        <f t="shared" si="6"/>
        <v>0</v>
      </c>
      <c r="F143" s="538">
        <f t="shared" si="0"/>
        <v>0</v>
      </c>
      <c r="G143" s="495">
        <f t="shared" si="5"/>
        <v>0</v>
      </c>
      <c r="H143" s="543">
        <f>+J95*G143+E143</f>
        <v>0</v>
      </c>
      <c r="I143" s="544">
        <f>+J96*G143+E143</f>
        <v>0</v>
      </c>
      <c r="J143" s="541">
        <f t="shared" si="7"/>
        <v>0</v>
      </c>
      <c r="K143" s="541"/>
      <c r="L143" s="561"/>
      <c r="M143" s="541">
        <f t="shared" si="1"/>
        <v>0</v>
      </c>
      <c r="N143" s="561"/>
      <c r="O143" s="541">
        <f t="shared" si="2"/>
        <v>0</v>
      </c>
      <c r="P143" s="541">
        <f t="shared" si="3"/>
        <v>0</v>
      </c>
    </row>
    <row r="144" spans="3:16">
      <c r="C144" s="537" t="str">
        <f>IF(D94="","-",+C143+1)</f>
        <v>-</v>
      </c>
      <c r="D144" s="495">
        <f t="shared" si="4"/>
        <v>0</v>
      </c>
      <c r="E144" s="538">
        <f t="shared" si="6"/>
        <v>0</v>
      </c>
      <c r="F144" s="538">
        <f t="shared" si="0"/>
        <v>0</v>
      </c>
      <c r="G144" s="495">
        <f t="shared" si="5"/>
        <v>0</v>
      </c>
      <c r="H144" s="543">
        <f>+J95*G144+E144</f>
        <v>0</v>
      </c>
      <c r="I144" s="544">
        <f>+J96*G144+E144</f>
        <v>0</v>
      </c>
      <c r="J144" s="541">
        <f t="shared" si="7"/>
        <v>0</v>
      </c>
      <c r="K144" s="541"/>
      <c r="L144" s="561"/>
      <c r="M144" s="541">
        <f t="shared" si="1"/>
        <v>0</v>
      </c>
      <c r="N144" s="561"/>
      <c r="O144" s="541">
        <f t="shared" si="2"/>
        <v>0</v>
      </c>
      <c r="P144" s="541">
        <f t="shared" si="3"/>
        <v>0</v>
      </c>
    </row>
    <row r="145" spans="3:16">
      <c r="C145" s="537" t="str">
        <f>IF(D94="","-",+C144+1)</f>
        <v>-</v>
      </c>
      <c r="D145" s="495">
        <f t="shared" si="4"/>
        <v>0</v>
      </c>
      <c r="E145" s="538">
        <f t="shared" si="6"/>
        <v>0</v>
      </c>
      <c r="F145" s="538">
        <f t="shared" si="0"/>
        <v>0</v>
      </c>
      <c r="G145" s="495">
        <f t="shared" si="5"/>
        <v>0</v>
      </c>
      <c r="H145" s="543">
        <f>+J95*G145+E145</f>
        <v>0</v>
      </c>
      <c r="I145" s="544">
        <f>+J96*G145+E145</f>
        <v>0</v>
      </c>
      <c r="J145" s="541">
        <f t="shared" si="7"/>
        <v>0</v>
      </c>
      <c r="K145" s="541"/>
      <c r="L145" s="561"/>
      <c r="M145" s="541">
        <f t="shared" si="1"/>
        <v>0</v>
      </c>
      <c r="N145" s="561"/>
      <c r="O145" s="541">
        <f t="shared" si="2"/>
        <v>0</v>
      </c>
      <c r="P145" s="541">
        <f t="shared" si="3"/>
        <v>0</v>
      </c>
    </row>
    <row r="146" spans="3:16">
      <c r="C146" s="537" t="str">
        <f>IF(D94="","-",+C145+1)</f>
        <v>-</v>
      </c>
      <c r="D146" s="495">
        <f t="shared" si="4"/>
        <v>0</v>
      </c>
      <c r="E146" s="538">
        <f t="shared" si="6"/>
        <v>0</v>
      </c>
      <c r="F146" s="538">
        <f t="shared" si="0"/>
        <v>0</v>
      </c>
      <c r="G146" s="495">
        <f t="shared" si="5"/>
        <v>0</v>
      </c>
      <c r="H146" s="543">
        <f>+J95*G146+E146</f>
        <v>0</v>
      </c>
      <c r="I146" s="544">
        <f>+J96*G146+E146</f>
        <v>0</v>
      </c>
      <c r="J146" s="541">
        <f t="shared" si="7"/>
        <v>0</v>
      </c>
      <c r="K146" s="541"/>
      <c r="L146" s="561"/>
      <c r="M146" s="541">
        <f t="shared" si="1"/>
        <v>0</v>
      </c>
      <c r="N146" s="561"/>
      <c r="O146" s="541">
        <f t="shared" si="2"/>
        <v>0</v>
      </c>
      <c r="P146" s="541">
        <f t="shared" si="3"/>
        <v>0</v>
      </c>
    </row>
    <row r="147" spans="3:16">
      <c r="C147" s="537" t="str">
        <f>IF(D94="","-",+C146+1)</f>
        <v>-</v>
      </c>
      <c r="D147" s="495">
        <f t="shared" si="4"/>
        <v>0</v>
      </c>
      <c r="E147" s="538">
        <f t="shared" si="6"/>
        <v>0</v>
      </c>
      <c r="F147" s="538">
        <f t="shared" si="0"/>
        <v>0</v>
      </c>
      <c r="G147" s="495">
        <f t="shared" si="5"/>
        <v>0</v>
      </c>
      <c r="H147" s="543">
        <f>+J95*G147+E147</f>
        <v>0</v>
      </c>
      <c r="I147" s="544">
        <f>+J96*G147+E147</f>
        <v>0</v>
      </c>
      <c r="J147" s="541">
        <f t="shared" si="7"/>
        <v>0</v>
      </c>
      <c r="K147" s="541"/>
      <c r="L147" s="561"/>
      <c r="M147" s="541">
        <f t="shared" si="1"/>
        <v>0</v>
      </c>
      <c r="N147" s="561"/>
      <c r="O147" s="541">
        <f t="shared" si="2"/>
        <v>0</v>
      </c>
      <c r="P147" s="541">
        <f t="shared" si="3"/>
        <v>0</v>
      </c>
    </row>
    <row r="148" spans="3:16">
      <c r="C148" s="537" t="str">
        <f>IF(D94="","-",+C147+1)</f>
        <v>-</v>
      </c>
      <c r="D148" s="495">
        <f t="shared" si="4"/>
        <v>0</v>
      </c>
      <c r="E148" s="538">
        <f t="shared" si="6"/>
        <v>0</v>
      </c>
      <c r="F148" s="538">
        <f t="shared" si="0"/>
        <v>0</v>
      </c>
      <c r="G148" s="495">
        <f t="shared" si="5"/>
        <v>0</v>
      </c>
      <c r="H148" s="543">
        <f>+J95*G148+E148</f>
        <v>0</v>
      </c>
      <c r="I148" s="544">
        <f>+J96*G148+E148</f>
        <v>0</v>
      </c>
      <c r="J148" s="541">
        <f t="shared" si="7"/>
        <v>0</v>
      </c>
      <c r="K148" s="541"/>
      <c r="L148" s="561"/>
      <c r="M148" s="541">
        <f t="shared" si="1"/>
        <v>0</v>
      </c>
      <c r="N148" s="561"/>
      <c r="O148" s="541">
        <f t="shared" si="2"/>
        <v>0</v>
      </c>
      <c r="P148" s="541">
        <f t="shared" si="3"/>
        <v>0</v>
      </c>
    </row>
    <row r="149" spans="3:16">
      <c r="C149" s="537" t="str">
        <f>IF(D94="","-",+C148+1)</f>
        <v>-</v>
      </c>
      <c r="D149" s="495">
        <f t="shared" si="4"/>
        <v>0</v>
      </c>
      <c r="E149" s="538">
        <f t="shared" si="6"/>
        <v>0</v>
      </c>
      <c r="F149" s="538">
        <f t="shared" si="0"/>
        <v>0</v>
      </c>
      <c r="G149" s="495">
        <f t="shared" si="5"/>
        <v>0</v>
      </c>
      <c r="H149" s="543">
        <f>+J95*G149+E149</f>
        <v>0</v>
      </c>
      <c r="I149" s="544">
        <f>+J96*G149+E149</f>
        <v>0</v>
      </c>
      <c r="J149" s="541">
        <f t="shared" si="7"/>
        <v>0</v>
      </c>
      <c r="K149" s="541"/>
      <c r="L149" s="561"/>
      <c r="M149" s="541">
        <f t="shared" si="1"/>
        <v>0</v>
      </c>
      <c r="N149" s="561"/>
      <c r="O149" s="541">
        <f t="shared" si="2"/>
        <v>0</v>
      </c>
      <c r="P149" s="541">
        <f t="shared" si="3"/>
        <v>0</v>
      </c>
    </row>
    <row r="150" spans="3:16">
      <c r="C150" s="537" t="str">
        <f>IF(D94="","-",+C149+1)</f>
        <v>-</v>
      </c>
      <c r="D150" s="495">
        <f t="shared" si="4"/>
        <v>0</v>
      </c>
      <c r="E150" s="538">
        <f t="shared" si="6"/>
        <v>0</v>
      </c>
      <c r="F150" s="538">
        <f t="shared" si="0"/>
        <v>0</v>
      </c>
      <c r="G150" s="495">
        <f t="shared" si="5"/>
        <v>0</v>
      </c>
      <c r="H150" s="543">
        <f>+J95*G150+E150</f>
        <v>0</v>
      </c>
      <c r="I150" s="544">
        <f>+J96*G150+E150</f>
        <v>0</v>
      </c>
      <c r="J150" s="541">
        <f t="shared" si="7"/>
        <v>0</v>
      </c>
      <c r="K150" s="541"/>
      <c r="L150" s="561"/>
      <c r="M150" s="541">
        <f t="shared" si="1"/>
        <v>0</v>
      </c>
      <c r="N150" s="561"/>
      <c r="O150" s="541">
        <f t="shared" si="2"/>
        <v>0</v>
      </c>
      <c r="P150" s="541">
        <f t="shared" si="3"/>
        <v>0</v>
      </c>
    </row>
    <row r="151" spans="3:16">
      <c r="C151" s="537" t="str">
        <f>IF(D94="","-",+C150+1)</f>
        <v>-</v>
      </c>
      <c r="D151" s="495">
        <f t="shared" si="4"/>
        <v>0</v>
      </c>
      <c r="E151" s="538">
        <f t="shared" si="6"/>
        <v>0</v>
      </c>
      <c r="F151" s="538">
        <f t="shared" si="0"/>
        <v>0</v>
      </c>
      <c r="G151" s="495">
        <f t="shared" si="5"/>
        <v>0</v>
      </c>
      <c r="H151" s="543">
        <f>+J95*G151+E151</f>
        <v>0</v>
      </c>
      <c r="I151" s="544">
        <f>+J96*G151+E151</f>
        <v>0</v>
      </c>
      <c r="J151" s="541">
        <f t="shared" si="7"/>
        <v>0</v>
      </c>
      <c r="K151" s="541"/>
      <c r="L151" s="561"/>
      <c r="M151" s="541">
        <f t="shared" si="1"/>
        <v>0</v>
      </c>
      <c r="N151" s="561"/>
      <c r="O151" s="541">
        <f t="shared" si="2"/>
        <v>0</v>
      </c>
      <c r="P151" s="541">
        <f t="shared" si="3"/>
        <v>0</v>
      </c>
    </row>
    <row r="152" spans="3:16">
      <c r="C152" s="537" t="str">
        <f>IF(D94="","-",+C151+1)</f>
        <v>-</v>
      </c>
      <c r="D152" s="495">
        <f t="shared" si="4"/>
        <v>0</v>
      </c>
      <c r="E152" s="538">
        <f t="shared" si="6"/>
        <v>0</v>
      </c>
      <c r="F152" s="538">
        <f t="shared" si="0"/>
        <v>0</v>
      </c>
      <c r="G152" s="495">
        <f t="shared" si="5"/>
        <v>0</v>
      </c>
      <c r="H152" s="543">
        <f>+J95*G152+E152</f>
        <v>0</v>
      </c>
      <c r="I152" s="544">
        <f>+J96*G152+E152</f>
        <v>0</v>
      </c>
      <c r="J152" s="541">
        <f t="shared" si="7"/>
        <v>0</v>
      </c>
      <c r="K152" s="541"/>
      <c r="L152" s="561"/>
      <c r="M152" s="541">
        <f t="shared" si="1"/>
        <v>0</v>
      </c>
      <c r="N152" s="561"/>
      <c r="O152" s="541">
        <f t="shared" si="2"/>
        <v>0</v>
      </c>
      <c r="P152" s="541">
        <f t="shared" si="3"/>
        <v>0</v>
      </c>
    </row>
    <row r="153" spans="3:16">
      <c r="C153" s="537" t="str">
        <f>IF(D94="","-",+C152+1)</f>
        <v>-</v>
      </c>
      <c r="D153" s="495">
        <f t="shared" si="4"/>
        <v>0</v>
      </c>
      <c r="E153" s="538">
        <f t="shared" si="6"/>
        <v>0</v>
      </c>
      <c r="F153" s="538">
        <f t="shared" si="0"/>
        <v>0</v>
      </c>
      <c r="G153" s="495">
        <f t="shared" si="5"/>
        <v>0</v>
      </c>
      <c r="H153" s="543">
        <f>+J95*G153+E153</f>
        <v>0</v>
      </c>
      <c r="I153" s="544">
        <f>+J96*G153+E153</f>
        <v>0</v>
      </c>
      <c r="J153" s="541">
        <f t="shared" si="7"/>
        <v>0</v>
      </c>
      <c r="K153" s="541"/>
      <c r="L153" s="561"/>
      <c r="M153" s="541">
        <f t="shared" si="1"/>
        <v>0</v>
      </c>
      <c r="N153" s="561"/>
      <c r="O153" s="541">
        <f t="shared" si="2"/>
        <v>0</v>
      </c>
      <c r="P153" s="541">
        <f t="shared" si="3"/>
        <v>0</v>
      </c>
    </row>
    <row r="154" spans="3:16">
      <c r="C154" s="537" t="str">
        <f>IF(D94="","-",+C153+1)</f>
        <v>-</v>
      </c>
      <c r="D154" s="495">
        <f>F153</f>
        <v>0</v>
      </c>
      <c r="E154" s="538">
        <f t="shared" si="6"/>
        <v>0</v>
      </c>
      <c r="F154" s="538">
        <f t="shared" si="0"/>
        <v>0</v>
      </c>
      <c r="G154" s="495">
        <f t="shared" si="5"/>
        <v>0</v>
      </c>
      <c r="H154" s="543">
        <f>+J95*G154+E154</f>
        <v>0</v>
      </c>
      <c r="I154" s="544">
        <f>+J96*G154+E154</f>
        <v>0</v>
      </c>
      <c r="J154" s="541">
        <f t="shared" si="7"/>
        <v>0</v>
      </c>
      <c r="K154" s="541"/>
      <c r="L154" s="561"/>
      <c r="M154" s="541">
        <f t="shared" si="1"/>
        <v>0</v>
      </c>
      <c r="N154" s="561"/>
      <c r="O154" s="541">
        <f t="shared" si="2"/>
        <v>0</v>
      </c>
      <c r="P154" s="541">
        <f t="shared" si="3"/>
        <v>0</v>
      </c>
    </row>
    <row r="155" spans="3:16">
      <c r="C155" s="537" t="str">
        <f>IF(D94="","-",+C154+1)</f>
        <v>-</v>
      </c>
      <c r="D155" s="495">
        <f t="shared" si="4"/>
        <v>0</v>
      </c>
      <c r="E155" s="538">
        <f t="shared" si="6"/>
        <v>0</v>
      </c>
      <c r="F155" s="538">
        <f t="shared" si="0"/>
        <v>0</v>
      </c>
      <c r="G155" s="495">
        <f t="shared" si="5"/>
        <v>0</v>
      </c>
      <c r="H155" s="543">
        <f>+J95*G155+E155</f>
        <v>0</v>
      </c>
      <c r="I155" s="544">
        <f>+J96*G155+E155</f>
        <v>0</v>
      </c>
      <c r="J155" s="541">
        <f t="shared" si="7"/>
        <v>0</v>
      </c>
      <c r="K155" s="541"/>
      <c r="L155" s="561"/>
      <c r="M155" s="541">
        <f t="shared" si="1"/>
        <v>0</v>
      </c>
      <c r="N155" s="561"/>
      <c r="O155" s="541">
        <f t="shared" si="2"/>
        <v>0</v>
      </c>
      <c r="P155" s="541">
        <f t="shared" si="3"/>
        <v>0</v>
      </c>
    </row>
    <row r="156" spans="3:16">
      <c r="C156" s="537" t="str">
        <f>IF(D94="","-",+C155+1)</f>
        <v>-</v>
      </c>
      <c r="D156" s="495">
        <f t="shared" si="4"/>
        <v>0</v>
      </c>
      <c r="E156" s="538">
        <f t="shared" si="6"/>
        <v>0</v>
      </c>
      <c r="F156" s="538">
        <f t="shared" si="0"/>
        <v>0</v>
      </c>
      <c r="G156" s="495">
        <f t="shared" si="5"/>
        <v>0</v>
      </c>
      <c r="H156" s="543">
        <f>+J95*G156+E156</f>
        <v>0</v>
      </c>
      <c r="I156" s="544">
        <f>+J96*G156+E156</f>
        <v>0</v>
      </c>
      <c r="J156" s="541">
        <f t="shared" si="7"/>
        <v>0</v>
      </c>
      <c r="K156" s="541"/>
      <c r="L156" s="561"/>
      <c r="M156" s="541">
        <f t="shared" si="1"/>
        <v>0</v>
      </c>
      <c r="N156" s="561"/>
      <c r="O156" s="541">
        <f t="shared" si="2"/>
        <v>0</v>
      </c>
      <c r="P156" s="541">
        <f t="shared" si="3"/>
        <v>0</v>
      </c>
    </row>
    <row r="157" spans="3:16">
      <c r="C157" s="537" t="str">
        <f>IF(D94="","-",+C156+1)</f>
        <v>-</v>
      </c>
      <c r="D157" s="495">
        <f t="shared" si="4"/>
        <v>0</v>
      </c>
      <c r="E157" s="538">
        <f t="shared" si="6"/>
        <v>0</v>
      </c>
      <c r="F157" s="538">
        <f t="shared" si="0"/>
        <v>0</v>
      </c>
      <c r="G157" s="495">
        <f t="shared" si="5"/>
        <v>0</v>
      </c>
      <c r="H157" s="543">
        <f>+J95*G157+E157</f>
        <v>0</v>
      </c>
      <c r="I157" s="544">
        <f>+J96*G157+E157</f>
        <v>0</v>
      </c>
      <c r="J157" s="541">
        <f t="shared" si="7"/>
        <v>0</v>
      </c>
      <c r="K157" s="541"/>
      <c r="L157" s="561"/>
      <c r="M157" s="541">
        <f t="shared" si="1"/>
        <v>0</v>
      </c>
      <c r="N157" s="561"/>
      <c r="O157" s="541">
        <f t="shared" si="2"/>
        <v>0</v>
      </c>
      <c r="P157" s="541">
        <f t="shared" si="3"/>
        <v>0</v>
      </c>
    </row>
    <row r="158" spans="3:16">
      <c r="C158" s="537" t="str">
        <f>IF(D94="","-",+C157+1)</f>
        <v>-</v>
      </c>
      <c r="D158" s="495">
        <f t="shared" si="4"/>
        <v>0</v>
      </c>
      <c r="E158" s="538">
        <f t="shared" si="6"/>
        <v>0</v>
      </c>
      <c r="F158" s="538">
        <f t="shared" si="0"/>
        <v>0</v>
      </c>
      <c r="G158" s="495">
        <f t="shared" si="5"/>
        <v>0</v>
      </c>
      <c r="H158" s="543">
        <f>+J95*G158+E158</f>
        <v>0</v>
      </c>
      <c r="I158" s="544">
        <f>+J96*G158+E158</f>
        <v>0</v>
      </c>
      <c r="J158" s="541">
        <f t="shared" si="7"/>
        <v>0</v>
      </c>
      <c r="K158" s="541"/>
      <c r="L158" s="561"/>
      <c r="M158" s="541">
        <f t="shared" si="1"/>
        <v>0</v>
      </c>
      <c r="N158" s="561"/>
      <c r="O158" s="541">
        <f t="shared" si="2"/>
        <v>0</v>
      </c>
      <c r="P158" s="541">
        <f t="shared" si="3"/>
        <v>0</v>
      </c>
    </row>
    <row r="159" spans="3:16" ht="13.5" thickBot="1">
      <c r="C159" s="547" t="str">
        <f>IF(D94="","-",+C158+1)</f>
        <v>-</v>
      </c>
      <c r="D159" s="548">
        <f t="shared" si="4"/>
        <v>0</v>
      </c>
      <c r="E159" s="549">
        <f t="shared" si="6"/>
        <v>0</v>
      </c>
      <c r="F159" s="549">
        <f t="shared" si="0"/>
        <v>0</v>
      </c>
      <c r="G159" s="548">
        <f t="shared" si="5"/>
        <v>0</v>
      </c>
      <c r="H159" s="550">
        <f>+J95*G159+E159</f>
        <v>0</v>
      </c>
      <c r="I159" s="550">
        <f>+J96*G159+E159</f>
        <v>0</v>
      </c>
      <c r="J159" s="551">
        <f t="shared" si="7"/>
        <v>0</v>
      </c>
      <c r="K159" s="541"/>
      <c r="L159" s="562"/>
      <c r="M159" s="551">
        <f t="shared" si="1"/>
        <v>0</v>
      </c>
      <c r="N159" s="562"/>
      <c r="O159" s="551">
        <f t="shared" si="2"/>
        <v>0</v>
      </c>
      <c r="P159" s="551">
        <f t="shared" si="3"/>
        <v>0</v>
      </c>
    </row>
    <row r="160" spans="3:16">
      <c r="C160" s="495" t="s">
        <v>91</v>
      </c>
      <c r="D160" s="492"/>
      <c r="E160" s="492">
        <f>SUM(E100:E159)</f>
        <v>0</v>
      </c>
      <c r="F160" s="492"/>
      <c r="G160" s="492"/>
      <c r="H160" s="492">
        <f>SUM(H100:H159)</f>
        <v>0</v>
      </c>
      <c r="I160" s="492">
        <f>SUM(I100:I159)</f>
        <v>0</v>
      </c>
      <c r="J160" s="492">
        <f>SUM(J100:J159)</f>
        <v>0</v>
      </c>
      <c r="K160" s="492"/>
      <c r="L160" s="492"/>
      <c r="M160" s="492"/>
      <c r="N160" s="492"/>
      <c r="O160" s="492"/>
    </row>
    <row r="161" spans="3:15">
      <c r="D161" s="47"/>
      <c r="E161" s="3"/>
      <c r="F161" s="3"/>
      <c r="G161" s="3"/>
      <c r="H161" s="3"/>
      <c r="I161" s="479"/>
      <c r="J161" s="479"/>
      <c r="K161" s="492"/>
      <c r="L161" s="479"/>
      <c r="M161" s="479"/>
      <c r="N161" s="479"/>
      <c r="O161" s="479"/>
    </row>
    <row r="162" spans="3:15">
      <c r="C162" s="3" t="s">
        <v>13</v>
      </c>
      <c r="D162" s="47"/>
      <c r="E162" s="3"/>
      <c r="F162" s="3"/>
      <c r="G162" s="3"/>
      <c r="H162" s="3"/>
      <c r="I162" s="479"/>
      <c r="J162" s="479"/>
      <c r="K162" s="492"/>
      <c r="L162" s="479"/>
      <c r="M162" s="479"/>
      <c r="N162" s="479"/>
      <c r="O162" s="479"/>
    </row>
    <row r="163" spans="3:15">
      <c r="C163" s="3"/>
      <c r="D163" s="47"/>
      <c r="E163" s="3"/>
      <c r="F163" s="3"/>
      <c r="G163" s="3"/>
      <c r="H163" s="3"/>
      <c r="I163" s="479"/>
      <c r="J163" s="479"/>
      <c r="K163" s="492"/>
      <c r="L163" s="479"/>
      <c r="M163" s="479"/>
      <c r="N163" s="479"/>
      <c r="O163" s="479"/>
    </row>
    <row r="164" spans="3:15">
      <c r="C164" s="507" t="s">
        <v>14</v>
      </c>
      <c r="D164" s="495"/>
      <c r="E164" s="495"/>
      <c r="F164" s="495"/>
      <c r="G164" s="495"/>
      <c r="H164" s="492"/>
      <c r="I164" s="492"/>
      <c r="J164" s="553"/>
      <c r="K164" s="553"/>
      <c r="L164" s="553"/>
      <c r="M164" s="553"/>
      <c r="N164" s="553"/>
      <c r="O164" s="553"/>
    </row>
    <row r="165" spans="3:15">
      <c r="C165" s="496" t="s">
        <v>271</v>
      </c>
      <c r="D165" s="495"/>
      <c r="E165" s="495"/>
      <c r="F165" s="495"/>
      <c r="G165" s="495"/>
      <c r="H165" s="492"/>
      <c r="I165" s="492"/>
      <c r="J165" s="553"/>
      <c r="K165" s="553"/>
      <c r="L165" s="553"/>
      <c r="M165" s="553"/>
      <c r="N165" s="553"/>
      <c r="O165" s="553"/>
    </row>
    <row r="166" spans="3:15">
      <c r="C166" s="496" t="s">
        <v>92</v>
      </c>
      <c r="D166" s="495"/>
      <c r="E166" s="495"/>
      <c r="F166" s="495"/>
      <c r="G166" s="495"/>
      <c r="H166" s="492"/>
      <c r="I166" s="492"/>
      <c r="J166" s="553"/>
      <c r="K166" s="553"/>
      <c r="L166" s="553"/>
      <c r="M166" s="553"/>
      <c r="N166" s="553"/>
      <c r="O166" s="553"/>
    </row>
  </sheetData>
  <mergeCells count="11">
    <mergeCell ref="A3:P3"/>
    <mergeCell ref="C11:I12"/>
    <mergeCell ref="A4:P4"/>
    <mergeCell ref="A5:P5"/>
    <mergeCell ref="A6:P6"/>
    <mergeCell ref="L93:O93"/>
    <mergeCell ref="D89:I89"/>
    <mergeCell ref="C51:D52"/>
    <mergeCell ref="C60:D61"/>
    <mergeCell ref="C71:D72"/>
    <mergeCell ref="J77:P80"/>
  </mergeCells>
  <phoneticPr fontId="0" type="noConversion"/>
  <conditionalFormatting sqref="C100:C159">
    <cfRule type="cellIs" dxfId="4"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0"/>
  <sheetViews>
    <sheetView zoomScaleNormal="75" workbookViewId="0">
      <selection activeCell="E14" sqref="E14"/>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12" t="s">
        <v>414</v>
      </c>
    </row>
    <row r="2" spans="1:5" ht="15.75">
      <c r="A2" s="712" t="s">
        <v>414</v>
      </c>
    </row>
    <row r="3" spans="1:5" ht="15">
      <c r="B3" s="1139" t="str">
        <f>TCOS!$F$5</f>
        <v>AEPTCo subsidiaries in PJM</v>
      </c>
      <c r="C3" s="1139" t="str">
        <f>TCOS!$F$5</f>
        <v>AEPTCo subsidiaries in PJM</v>
      </c>
      <c r="D3" s="1139" t="str">
        <f>TCOS!$F$5</f>
        <v>AEPTCo subsidiaries in PJM</v>
      </c>
      <c r="E3" s="1139" t="str">
        <f>TCOS!$F$5</f>
        <v>AEPTCo subsidiaries in PJM</v>
      </c>
    </row>
    <row r="4" spans="1:5" ht="15">
      <c r="B4" s="1140" t="str">
        <f>"Cost of Service Formula Rate Using Actual/Projected FF1 Balances"</f>
        <v>Cost of Service Formula Rate Using Actual/Projected FF1 Balances</v>
      </c>
      <c r="C4" s="1140"/>
      <c r="D4" s="1140"/>
      <c r="E4" s="1140"/>
    </row>
    <row r="5" spans="1:5" ht="15">
      <c r="B5" s="1139" t="s">
        <v>597</v>
      </c>
      <c r="C5" s="1139"/>
      <c r="D5" s="1139"/>
      <c r="E5" s="1139"/>
    </row>
    <row r="6" spans="1:5" ht="15">
      <c r="B6" s="1151" t="str">
        <f>+TCOS!F9</f>
        <v>AEP Indiana Michigan Transmission Company</v>
      </c>
      <c r="C6" s="1139"/>
      <c r="D6" s="1139"/>
      <c r="E6" s="1139"/>
    </row>
    <row r="8" spans="1:5" ht="18.75" customHeight="1">
      <c r="B8" s="6" t="s">
        <v>414</v>
      </c>
      <c r="C8" s="63"/>
      <c r="D8" s="76"/>
    </row>
    <row r="9" spans="1:5">
      <c r="B9" s="75"/>
      <c r="C9" s="63"/>
      <c r="D9" s="76"/>
    </row>
    <row r="10" spans="1:5">
      <c r="B10" s="8" t="s">
        <v>561</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6"/>
  <sheetViews>
    <sheetView topLeftCell="A26" zoomScale="85" zoomScaleNormal="85" zoomScaleSheetLayoutView="70" workbookViewId="0">
      <selection activeCell="E14" sqref="E14"/>
    </sheetView>
  </sheetViews>
  <sheetFormatPr defaultColWidth="11.42578125" defaultRowHeight="12.75"/>
  <cols>
    <col min="1" max="1" width="10.28515625" style="842" customWidth="1"/>
    <col min="2" max="2" width="52.28515625" style="816" customWidth="1"/>
    <col min="3" max="7" width="20.28515625" style="816" customWidth="1"/>
    <col min="8" max="8" width="23" style="816" customWidth="1"/>
    <col min="9" max="11" width="20.28515625" style="816" customWidth="1"/>
    <col min="12" max="12" width="20" style="816" customWidth="1"/>
    <col min="13" max="14" width="15.140625" style="816" customWidth="1"/>
    <col min="15" max="16384" width="11.42578125" style="816"/>
  </cols>
  <sheetData>
    <row r="1" spans="1:12" ht="15">
      <c r="A1" s="1199" t="str">
        <f>TCOS!F5</f>
        <v>AEPTCo subsidiaries in PJM</v>
      </c>
      <c r="B1" s="1199" t="s">
        <v>329</v>
      </c>
      <c r="C1" s="1199" t="s">
        <v>329</v>
      </c>
      <c r="D1" s="1199" t="s">
        <v>329</v>
      </c>
      <c r="E1" s="1199" t="s">
        <v>329</v>
      </c>
      <c r="F1" s="1199" t="s">
        <v>329</v>
      </c>
      <c r="G1" s="1199" t="s">
        <v>329</v>
      </c>
      <c r="H1" s="724"/>
    </row>
    <row r="2" spans="1:12" ht="15">
      <c r="A2" s="1140" t="str">
        <f>"Cost of Service Formula Rate Using Actual/Projected FF1 Balances"</f>
        <v>Cost of Service Formula Rate Using Actual/Projected FF1 Balances</v>
      </c>
      <c r="B2" s="1140"/>
      <c r="C2" s="1140"/>
      <c r="D2" s="1140"/>
      <c r="E2" s="1140"/>
      <c r="F2" s="1140"/>
      <c r="G2" s="1140"/>
      <c r="H2" s="817"/>
      <c r="I2" s="817"/>
      <c r="J2" s="817"/>
      <c r="L2" s="818"/>
    </row>
    <row r="3" spans="1:12" ht="15">
      <c r="A3" s="1140" t="s">
        <v>730</v>
      </c>
      <c r="B3" s="1140"/>
      <c r="C3" s="1140"/>
      <c r="D3" s="1140"/>
      <c r="E3" s="1140"/>
      <c r="F3" s="1140"/>
      <c r="G3" s="1140"/>
      <c r="H3" s="817"/>
      <c r="I3" s="817"/>
      <c r="J3" s="817"/>
    </row>
    <row r="4" spans="1:12" ht="15">
      <c r="A4" s="1141" t="str">
        <f>TCOS!F9</f>
        <v>AEP Indiana Michigan Transmission Company</v>
      </c>
      <c r="B4" s="1141"/>
      <c r="C4" s="1141"/>
      <c r="D4" s="1141"/>
      <c r="E4" s="1141"/>
      <c r="F4" s="1141"/>
      <c r="G4" s="1141"/>
      <c r="H4" s="817"/>
      <c r="I4" s="817"/>
      <c r="J4" s="817"/>
    </row>
    <row r="5" spans="1:12">
      <c r="A5" s="817"/>
      <c r="B5" s="819"/>
      <c r="C5" s="819"/>
      <c r="D5" s="819"/>
      <c r="E5" s="820"/>
      <c r="F5" s="821"/>
      <c r="H5" s="723"/>
      <c r="I5" s="723"/>
      <c r="J5" s="723"/>
      <c r="K5" s="723"/>
      <c r="L5" s="723"/>
    </row>
    <row r="6" spans="1:12" ht="12.75" customHeight="1">
      <c r="A6" s="724"/>
      <c r="B6" s="760"/>
      <c r="C6" s="1142" t="s">
        <v>339</v>
      </c>
      <c r="D6" s="1143"/>
      <c r="E6" s="1143"/>
      <c r="F6" s="1143"/>
      <c r="G6" s="1144"/>
      <c r="H6" s="723"/>
      <c r="I6" s="723"/>
      <c r="J6" s="723"/>
      <c r="K6" s="723"/>
      <c r="L6" s="723"/>
    </row>
    <row r="7" spans="1:12" s="824" customFormat="1" ht="38.25">
      <c r="A7" s="822" t="s">
        <v>703</v>
      </c>
      <c r="B7" s="765" t="s">
        <v>704</v>
      </c>
      <c r="C7" s="788" t="s">
        <v>731</v>
      </c>
      <c r="D7" s="766" t="s">
        <v>171</v>
      </c>
      <c r="E7" s="766" t="s">
        <v>732</v>
      </c>
      <c r="F7" s="766" t="s">
        <v>733</v>
      </c>
      <c r="G7" s="823" t="s">
        <v>339</v>
      </c>
      <c r="H7" s="723"/>
      <c r="I7" s="723"/>
      <c r="J7" s="723"/>
      <c r="K7" s="723"/>
      <c r="L7" s="723"/>
    </row>
    <row r="8" spans="1:12" s="827" customFormat="1">
      <c r="A8" s="825"/>
      <c r="B8" s="768" t="s">
        <v>708</v>
      </c>
      <c r="C8" s="789" t="s">
        <v>722</v>
      </c>
      <c r="D8" s="762" t="s">
        <v>723</v>
      </c>
      <c r="E8" s="762" t="s">
        <v>709</v>
      </c>
      <c r="F8" s="762" t="s">
        <v>710</v>
      </c>
      <c r="G8" s="826" t="s">
        <v>734</v>
      </c>
      <c r="H8" s="723"/>
      <c r="I8" s="723"/>
      <c r="J8" s="723"/>
      <c r="K8" s="723"/>
      <c r="L8" s="723"/>
    </row>
    <row r="9" spans="1:12" s="827" customFormat="1" ht="44.25" customHeight="1">
      <c r="A9" s="825"/>
      <c r="B9" s="768" t="s">
        <v>711</v>
      </c>
      <c r="C9" s="828" t="s">
        <v>735</v>
      </c>
      <c r="D9" s="770" t="s">
        <v>736</v>
      </c>
      <c r="E9" s="770" t="s">
        <v>737</v>
      </c>
      <c r="F9" s="770" t="s">
        <v>738</v>
      </c>
      <c r="G9" s="829"/>
      <c r="H9" s="723"/>
      <c r="I9" s="723"/>
      <c r="J9" s="723"/>
      <c r="K9" s="723"/>
      <c r="L9" s="723"/>
    </row>
    <row r="10" spans="1:12">
      <c r="A10" s="825">
        <v>1</v>
      </c>
      <c r="B10" s="771" t="s">
        <v>712</v>
      </c>
      <c r="C10" s="830">
        <v>2027778125.7239478</v>
      </c>
      <c r="D10" s="830">
        <v>0</v>
      </c>
      <c r="E10" s="830">
        <v>0</v>
      </c>
      <c r="F10" s="830">
        <v>0</v>
      </c>
      <c r="G10" s="831">
        <f>+C10-D10-E10-F10</f>
        <v>2027778125.7239478</v>
      </c>
      <c r="H10" s="723"/>
      <c r="I10" s="723"/>
      <c r="J10" s="723"/>
      <c r="K10" s="723"/>
      <c r="L10" s="723"/>
    </row>
    <row r="11" spans="1:12">
      <c r="A11" s="825">
        <f>+A10+1</f>
        <v>2</v>
      </c>
      <c r="B11" s="771" t="s">
        <v>574</v>
      </c>
      <c r="C11" s="830">
        <v>2046804752.3539333</v>
      </c>
      <c r="D11" s="930">
        <v>0</v>
      </c>
      <c r="E11" s="930">
        <v>0</v>
      </c>
      <c r="F11" s="930">
        <v>0</v>
      </c>
      <c r="G11" s="831">
        <f t="shared" ref="G11:G22" si="0">+C11-D11-E11-F11</f>
        <v>2046804752.3539333</v>
      </c>
      <c r="H11" s="723"/>
      <c r="I11" s="723"/>
      <c r="J11" s="723"/>
      <c r="K11" s="723"/>
      <c r="L11" s="723"/>
    </row>
    <row r="12" spans="1:12">
      <c r="A12" s="825">
        <f t="shared" ref="A12:A23" si="1">+A11+1</f>
        <v>3</v>
      </c>
      <c r="B12" s="773" t="s">
        <v>575</v>
      </c>
      <c r="C12" s="830">
        <v>2065170070.9885817</v>
      </c>
      <c r="D12" s="930">
        <v>0</v>
      </c>
      <c r="E12" s="930">
        <v>0</v>
      </c>
      <c r="F12" s="930">
        <v>0</v>
      </c>
      <c r="G12" s="831">
        <f t="shared" si="0"/>
        <v>2065170070.9885817</v>
      </c>
      <c r="H12" s="723"/>
      <c r="I12" s="723"/>
      <c r="J12" s="723"/>
      <c r="K12" s="723"/>
      <c r="L12" s="723"/>
    </row>
    <row r="13" spans="1:12">
      <c r="A13" s="825">
        <f t="shared" si="1"/>
        <v>4</v>
      </c>
      <c r="B13" s="773" t="s">
        <v>713</v>
      </c>
      <c r="C13" s="830">
        <v>2084191677.4485002</v>
      </c>
      <c r="D13" s="930">
        <v>0</v>
      </c>
      <c r="E13" s="930">
        <v>0</v>
      </c>
      <c r="F13" s="930">
        <v>0</v>
      </c>
      <c r="G13" s="831">
        <f t="shared" si="0"/>
        <v>2084191677.4485002</v>
      </c>
      <c r="H13" s="723"/>
      <c r="I13" s="723"/>
      <c r="J13" s="723"/>
      <c r="K13" s="723"/>
      <c r="L13" s="723"/>
    </row>
    <row r="14" spans="1:12">
      <c r="A14" s="825">
        <f t="shared" si="1"/>
        <v>5</v>
      </c>
      <c r="B14" s="773" t="s">
        <v>577</v>
      </c>
      <c r="C14" s="830">
        <v>2102078639.5677068</v>
      </c>
      <c r="D14" s="930">
        <v>0</v>
      </c>
      <c r="E14" s="930">
        <v>0</v>
      </c>
      <c r="F14" s="930">
        <v>0</v>
      </c>
      <c r="G14" s="831">
        <f t="shared" si="0"/>
        <v>2102078639.5677068</v>
      </c>
      <c r="H14" s="723"/>
      <c r="I14" s="723"/>
      <c r="J14" s="723"/>
      <c r="K14" s="723"/>
      <c r="L14" s="723"/>
    </row>
    <row r="15" spans="1:12">
      <c r="A15" s="825">
        <f t="shared" si="1"/>
        <v>6</v>
      </c>
      <c r="B15" s="773" t="s">
        <v>578</v>
      </c>
      <c r="C15" s="830">
        <v>2118174645.1359866</v>
      </c>
      <c r="D15" s="930">
        <v>0</v>
      </c>
      <c r="E15" s="930">
        <v>0</v>
      </c>
      <c r="F15" s="930">
        <v>0</v>
      </c>
      <c r="G15" s="831">
        <f t="shared" si="0"/>
        <v>2118174645.1359866</v>
      </c>
      <c r="H15" s="723"/>
      <c r="I15" s="723"/>
      <c r="J15" s="723"/>
      <c r="K15" s="723"/>
      <c r="L15" s="723"/>
    </row>
    <row r="16" spans="1:12">
      <c r="A16" s="825">
        <f t="shared" si="1"/>
        <v>7</v>
      </c>
      <c r="B16" s="773" t="s">
        <v>579</v>
      </c>
      <c r="C16" s="830">
        <v>2136347558.3868866</v>
      </c>
      <c r="D16" s="930">
        <v>0</v>
      </c>
      <c r="E16" s="930">
        <v>0</v>
      </c>
      <c r="F16" s="930">
        <v>0</v>
      </c>
      <c r="G16" s="831">
        <f t="shared" si="0"/>
        <v>2136347558.3868866</v>
      </c>
      <c r="H16" s="723"/>
      <c r="I16" s="723"/>
      <c r="J16" s="723"/>
      <c r="K16" s="723"/>
      <c r="L16" s="723"/>
    </row>
    <row r="17" spans="1:12">
      <c r="A17" s="825">
        <f t="shared" si="1"/>
        <v>8</v>
      </c>
      <c r="B17" s="773" t="s">
        <v>580</v>
      </c>
      <c r="C17" s="830">
        <v>2155395516.001452</v>
      </c>
      <c r="D17" s="930">
        <v>0</v>
      </c>
      <c r="E17" s="930">
        <v>0</v>
      </c>
      <c r="F17" s="930">
        <v>0</v>
      </c>
      <c r="G17" s="831">
        <f t="shared" si="0"/>
        <v>2155395516.001452</v>
      </c>
      <c r="H17" s="723"/>
      <c r="I17" s="723"/>
      <c r="J17" s="723"/>
      <c r="K17" s="723"/>
      <c r="L17" s="723"/>
    </row>
    <row r="18" spans="1:12">
      <c r="A18" s="825">
        <f t="shared" si="1"/>
        <v>9</v>
      </c>
      <c r="B18" s="773" t="s">
        <v>714</v>
      </c>
      <c r="C18" s="830">
        <v>2146451960.6257033</v>
      </c>
      <c r="D18" s="930">
        <v>0</v>
      </c>
      <c r="E18" s="930">
        <v>0</v>
      </c>
      <c r="F18" s="930">
        <v>0</v>
      </c>
      <c r="G18" s="831">
        <f t="shared" si="0"/>
        <v>2146451960.6257033</v>
      </c>
      <c r="H18" s="723"/>
      <c r="I18" s="723"/>
      <c r="J18" s="723"/>
      <c r="K18" s="723"/>
      <c r="L18" s="723"/>
    </row>
    <row r="19" spans="1:12">
      <c r="A19" s="825">
        <f t="shared" si="1"/>
        <v>10</v>
      </c>
      <c r="B19" s="773" t="s">
        <v>582</v>
      </c>
      <c r="C19" s="830">
        <v>2164359068.4664526</v>
      </c>
      <c r="D19" s="930">
        <v>0</v>
      </c>
      <c r="E19" s="930">
        <v>0</v>
      </c>
      <c r="F19" s="930">
        <v>0</v>
      </c>
      <c r="G19" s="831">
        <f t="shared" si="0"/>
        <v>2164359068.4664526</v>
      </c>
      <c r="H19" s="723"/>
      <c r="I19" s="723"/>
      <c r="J19" s="723"/>
      <c r="K19" s="723"/>
      <c r="L19" s="723"/>
    </row>
    <row r="20" spans="1:12">
      <c r="A20" s="825">
        <f t="shared" si="1"/>
        <v>11</v>
      </c>
      <c r="B20" s="773" t="s">
        <v>583</v>
      </c>
      <c r="C20" s="830">
        <v>2183457126.924334</v>
      </c>
      <c r="D20" s="930">
        <v>0</v>
      </c>
      <c r="E20" s="930">
        <v>0</v>
      </c>
      <c r="F20" s="930">
        <v>0</v>
      </c>
      <c r="G20" s="831">
        <f t="shared" si="0"/>
        <v>2183457126.924334</v>
      </c>
      <c r="H20" s="723"/>
      <c r="I20" s="723"/>
      <c r="J20" s="723"/>
      <c r="K20" s="723"/>
      <c r="L20" s="723"/>
    </row>
    <row r="21" spans="1:12">
      <c r="A21" s="825">
        <f t="shared" si="1"/>
        <v>12</v>
      </c>
      <c r="B21" s="773" t="s">
        <v>584</v>
      </c>
      <c r="C21" s="830">
        <v>2201463075.5526619</v>
      </c>
      <c r="D21" s="930">
        <v>0</v>
      </c>
      <c r="E21" s="930">
        <v>0</v>
      </c>
      <c r="F21" s="930">
        <v>0</v>
      </c>
      <c r="G21" s="831">
        <f t="shared" si="0"/>
        <v>2201463075.5526619</v>
      </c>
      <c r="H21" s="723"/>
      <c r="I21" s="723"/>
      <c r="J21" s="723"/>
      <c r="K21" s="723"/>
      <c r="L21" s="723"/>
    </row>
    <row r="22" spans="1:12">
      <c r="A22" s="832">
        <f t="shared" si="1"/>
        <v>13</v>
      </c>
      <c r="B22" s="775" t="s">
        <v>715</v>
      </c>
      <c r="C22" s="830">
        <v>2220493590.4994636</v>
      </c>
      <c r="D22" s="830">
        <v>0</v>
      </c>
      <c r="E22" s="830">
        <v>0</v>
      </c>
      <c r="F22" s="830">
        <v>0</v>
      </c>
      <c r="G22" s="831">
        <f t="shared" si="0"/>
        <v>2220493590.4994636</v>
      </c>
      <c r="H22" s="723"/>
      <c r="I22" s="723"/>
      <c r="J22" s="723"/>
      <c r="K22" s="723"/>
      <c r="L22" s="723"/>
    </row>
    <row r="23" spans="1:12" ht="13.5" thickBot="1">
      <c r="A23" s="832">
        <f t="shared" si="1"/>
        <v>14</v>
      </c>
      <c r="B23" s="776" t="s">
        <v>716</v>
      </c>
      <c r="C23" s="797">
        <f>SUM(C10:C22)/13</f>
        <v>2127089677.5135083</v>
      </c>
      <c r="D23" s="777">
        <f>SUM(D10:D22)/13</f>
        <v>0</v>
      </c>
      <c r="E23" s="777">
        <f>SUM(E10:E22)/13</f>
        <v>0</v>
      </c>
      <c r="F23" s="777">
        <f>SUM(F10:F22)/13</f>
        <v>0</v>
      </c>
      <c r="G23" s="833">
        <f>SUM(G10:G22)/13</f>
        <v>2127089677.5135083</v>
      </c>
      <c r="H23" s="723"/>
      <c r="I23" s="723"/>
      <c r="J23" s="723"/>
      <c r="K23" s="723"/>
      <c r="L23" s="723"/>
    </row>
    <row r="24" spans="1:12" ht="13.5" thickTop="1">
      <c r="A24" s="724"/>
      <c r="B24" s="778"/>
      <c r="C24" s="779"/>
      <c r="D24" s="780"/>
      <c r="E24" s="780"/>
      <c r="F24" s="780"/>
      <c r="G24" s="779"/>
      <c r="H24" s="779"/>
      <c r="I24" s="723"/>
      <c r="J24" s="723"/>
      <c r="K24" s="723"/>
      <c r="L24" s="723"/>
    </row>
    <row r="25" spans="1:12" ht="12.75" customHeight="1">
      <c r="A25" s="724"/>
      <c r="B25" s="760"/>
      <c r="C25" s="1200" t="s">
        <v>540</v>
      </c>
      <c r="D25" s="1201"/>
      <c r="E25" s="1201"/>
      <c r="F25" s="1201"/>
      <c r="G25" s="1201"/>
      <c r="H25" s="1202"/>
      <c r="I25" s="723"/>
      <c r="J25" s="723"/>
      <c r="K25" s="723"/>
      <c r="L25" s="723"/>
    </row>
    <row r="26" spans="1:12" s="824" customFormat="1" ht="38.25">
      <c r="A26" s="822" t="s">
        <v>703</v>
      </c>
      <c r="B26" s="765" t="s">
        <v>704</v>
      </c>
      <c r="C26" s="788" t="s">
        <v>739</v>
      </c>
      <c r="D26" s="766" t="s">
        <v>740</v>
      </c>
      <c r="E26" s="766" t="s">
        <v>754</v>
      </c>
      <c r="F26" s="766" t="s">
        <v>755</v>
      </c>
      <c r="G26" s="766" t="s">
        <v>741</v>
      </c>
      <c r="H26" s="823" t="s">
        <v>753</v>
      </c>
      <c r="I26" s="723"/>
      <c r="J26" s="723"/>
      <c r="K26" s="723"/>
      <c r="L26" s="723"/>
    </row>
    <row r="27" spans="1:12" s="827" customFormat="1">
      <c r="A27" s="825"/>
      <c r="B27" s="768" t="s">
        <v>708</v>
      </c>
      <c r="C27" s="789" t="s">
        <v>722</v>
      </c>
      <c r="D27" s="762" t="s">
        <v>723</v>
      </c>
      <c r="E27" s="762" t="s">
        <v>709</v>
      </c>
      <c r="F27" s="762" t="s">
        <v>710</v>
      </c>
      <c r="G27" s="762" t="s">
        <v>742</v>
      </c>
      <c r="H27" s="826" t="s">
        <v>743</v>
      </c>
      <c r="I27" s="723"/>
      <c r="J27" s="723"/>
      <c r="K27" s="723"/>
      <c r="L27" s="723"/>
    </row>
    <row r="28" spans="1:12" s="827" customFormat="1" ht="44.25" customHeight="1">
      <c r="A28" s="825"/>
      <c r="B28" s="768" t="s">
        <v>711</v>
      </c>
      <c r="C28" s="828" t="s">
        <v>744</v>
      </c>
      <c r="D28" s="770" t="s">
        <v>745</v>
      </c>
      <c r="E28" s="770" t="s">
        <v>746</v>
      </c>
      <c r="F28" s="770" t="s">
        <v>747</v>
      </c>
      <c r="G28" s="770" t="s">
        <v>748</v>
      </c>
      <c r="H28" s="834"/>
      <c r="I28" s="723"/>
      <c r="J28" s="723"/>
      <c r="K28" s="723"/>
      <c r="L28" s="723"/>
    </row>
    <row r="29" spans="1:12">
      <c r="A29" s="825">
        <f>+A23+1</f>
        <v>15</v>
      </c>
      <c r="B29" s="771" t="s">
        <v>712</v>
      </c>
      <c r="C29" s="930">
        <v>0</v>
      </c>
      <c r="D29" s="830">
        <v>0</v>
      </c>
      <c r="E29" s="830">
        <v>1599250000</v>
      </c>
      <c r="F29" s="830">
        <v>116858630.83265495</v>
      </c>
      <c r="G29" s="830">
        <v>0</v>
      </c>
      <c r="H29" s="831">
        <f>+C29-D29+E29+F29-G29</f>
        <v>1716108630.832655</v>
      </c>
      <c r="I29" s="723"/>
      <c r="J29" s="723"/>
      <c r="K29" s="723"/>
      <c r="L29" s="723"/>
    </row>
    <row r="30" spans="1:12">
      <c r="A30" s="825">
        <f>+A29+1</f>
        <v>16</v>
      </c>
      <c r="B30" s="771" t="s">
        <v>574</v>
      </c>
      <c r="C30" s="930">
        <v>0</v>
      </c>
      <c r="D30" s="930">
        <v>0</v>
      </c>
      <c r="E30" s="830">
        <v>1599250000</v>
      </c>
      <c r="F30" s="830">
        <v>98978083.268137828</v>
      </c>
      <c r="G30" s="930">
        <v>0</v>
      </c>
      <c r="H30" s="831">
        <f t="shared" ref="H30:H41" si="2">+C30-D30+E30+F30-G30</f>
        <v>1698228083.2681379</v>
      </c>
      <c r="I30" s="723"/>
      <c r="J30" s="723"/>
      <c r="K30" s="723"/>
      <c r="L30" s="723"/>
    </row>
    <row r="31" spans="1:12">
      <c r="A31" s="825">
        <f t="shared" ref="A31:A42" si="3">+A30+1</f>
        <v>17</v>
      </c>
      <c r="B31" s="773" t="s">
        <v>575</v>
      </c>
      <c r="C31" s="930">
        <v>0</v>
      </c>
      <c r="D31" s="930">
        <v>0</v>
      </c>
      <c r="E31" s="830">
        <v>1599250000</v>
      </c>
      <c r="F31" s="830">
        <v>103526147.3448099</v>
      </c>
      <c r="G31" s="930">
        <v>0</v>
      </c>
      <c r="H31" s="831">
        <f t="shared" si="2"/>
        <v>1702776147.34481</v>
      </c>
      <c r="I31" s="723"/>
      <c r="J31" s="723"/>
      <c r="K31" s="723"/>
      <c r="L31" s="723"/>
    </row>
    <row r="32" spans="1:12">
      <c r="A32" s="825">
        <f t="shared" si="3"/>
        <v>18</v>
      </c>
      <c r="B32" s="773" t="s">
        <v>713</v>
      </c>
      <c r="C32" s="930">
        <v>0</v>
      </c>
      <c r="D32" s="930">
        <v>0</v>
      </c>
      <c r="E32" s="830">
        <v>1599250000</v>
      </c>
      <c r="F32" s="830">
        <v>102122545.71942677</v>
      </c>
      <c r="G32" s="930">
        <v>0</v>
      </c>
      <c r="H32" s="831">
        <f t="shared" si="2"/>
        <v>1701372545.7194269</v>
      </c>
      <c r="I32" s="723"/>
      <c r="J32" s="723"/>
      <c r="K32" s="723"/>
      <c r="L32" s="723"/>
    </row>
    <row r="33" spans="1:12">
      <c r="A33" s="825">
        <f t="shared" si="3"/>
        <v>19</v>
      </c>
      <c r="B33" s="773" t="s">
        <v>577</v>
      </c>
      <c r="C33" s="930">
        <v>0</v>
      </c>
      <c r="D33" s="930">
        <v>0</v>
      </c>
      <c r="E33" s="830">
        <v>1599250000</v>
      </c>
      <c r="F33" s="830">
        <v>97947538.410795882</v>
      </c>
      <c r="G33" s="930">
        <v>0</v>
      </c>
      <c r="H33" s="831">
        <f t="shared" si="2"/>
        <v>1697197538.4107959</v>
      </c>
      <c r="I33" s="723"/>
      <c r="J33" s="723"/>
      <c r="K33" s="723"/>
      <c r="L33" s="723"/>
    </row>
    <row r="34" spans="1:12">
      <c r="A34" s="825">
        <f t="shared" si="3"/>
        <v>20</v>
      </c>
      <c r="B34" s="773" t="s">
        <v>578</v>
      </c>
      <c r="C34" s="930">
        <v>0</v>
      </c>
      <c r="D34" s="930">
        <v>0</v>
      </c>
      <c r="E34" s="830">
        <v>1599250000</v>
      </c>
      <c r="F34" s="830">
        <v>106270565.68492705</v>
      </c>
      <c r="G34" s="930">
        <v>0</v>
      </c>
      <c r="H34" s="831">
        <f>+C34-D34+E34+F34-G34</f>
        <v>1705520565.684927</v>
      </c>
      <c r="I34" s="723"/>
      <c r="J34" s="723"/>
      <c r="K34" s="723"/>
      <c r="L34" s="723"/>
    </row>
    <row r="35" spans="1:12">
      <c r="A35" s="825">
        <f t="shared" si="3"/>
        <v>21</v>
      </c>
      <c r="B35" s="773" t="s">
        <v>579</v>
      </c>
      <c r="C35" s="930">
        <v>0</v>
      </c>
      <c r="D35" s="930">
        <v>0</v>
      </c>
      <c r="E35" s="830">
        <v>1599250000</v>
      </c>
      <c r="F35" s="830">
        <v>193788486.57291946</v>
      </c>
      <c r="G35" s="930">
        <v>0</v>
      </c>
      <c r="H35" s="831">
        <f t="shared" si="2"/>
        <v>1793038486.5729194</v>
      </c>
      <c r="I35" s="723"/>
      <c r="J35" s="723"/>
      <c r="K35" s="723"/>
      <c r="L35" s="723"/>
    </row>
    <row r="36" spans="1:12">
      <c r="A36" s="825">
        <f t="shared" si="3"/>
        <v>22</v>
      </c>
      <c r="B36" s="773" t="s">
        <v>580</v>
      </c>
      <c r="C36" s="930">
        <v>0</v>
      </c>
      <c r="D36" s="930">
        <v>0</v>
      </c>
      <c r="E36" s="830">
        <v>1599250000</v>
      </c>
      <c r="F36" s="830">
        <v>171416009.78434739</v>
      </c>
      <c r="G36" s="930">
        <v>0</v>
      </c>
      <c r="H36" s="831">
        <f t="shared" si="2"/>
        <v>1770666009.7843473</v>
      </c>
      <c r="I36" s="723"/>
      <c r="J36" s="723"/>
      <c r="K36" s="723"/>
      <c r="L36" s="723"/>
    </row>
    <row r="37" spans="1:12">
      <c r="A37" s="825">
        <f t="shared" si="3"/>
        <v>23</v>
      </c>
      <c r="B37" s="773" t="s">
        <v>714</v>
      </c>
      <c r="C37" s="930">
        <v>0</v>
      </c>
      <c r="D37" s="930">
        <v>0</v>
      </c>
      <c r="E37" s="830">
        <v>1599250000</v>
      </c>
      <c r="F37" s="830">
        <v>166584312.33685416</v>
      </c>
      <c r="G37" s="930">
        <v>0</v>
      </c>
      <c r="H37" s="831">
        <f t="shared" si="2"/>
        <v>1765834312.3368542</v>
      </c>
      <c r="I37" s="723"/>
      <c r="J37" s="723"/>
      <c r="K37" s="723"/>
      <c r="L37" s="723"/>
    </row>
    <row r="38" spans="1:12">
      <c r="A38" s="825">
        <f t="shared" si="3"/>
        <v>24</v>
      </c>
      <c r="B38" s="773" t="s">
        <v>582</v>
      </c>
      <c r="C38" s="930">
        <v>0</v>
      </c>
      <c r="D38" s="930">
        <v>0</v>
      </c>
      <c r="E38" s="830">
        <v>1599250000</v>
      </c>
      <c r="F38" s="830">
        <v>192041890.97807348</v>
      </c>
      <c r="G38" s="930">
        <v>0</v>
      </c>
      <c r="H38" s="831">
        <f t="shared" si="2"/>
        <v>1791291890.9780736</v>
      </c>
      <c r="I38" s="723"/>
      <c r="J38" s="723"/>
      <c r="K38" s="723"/>
      <c r="L38" s="723"/>
    </row>
    <row r="39" spans="1:12">
      <c r="A39" s="825">
        <f t="shared" si="3"/>
        <v>25</v>
      </c>
      <c r="B39" s="773" t="s">
        <v>583</v>
      </c>
      <c r="C39" s="930">
        <v>0</v>
      </c>
      <c r="D39" s="930">
        <v>0</v>
      </c>
      <c r="E39" s="830">
        <v>1599250000</v>
      </c>
      <c r="F39" s="830">
        <v>200966156.29190561</v>
      </c>
      <c r="G39" s="930">
        <v>0</v>
      </c>
      <c r="H39" s="831">
        <f t="shared" si="2"/>
        <v>1800216156.2919056</v>
      </c>
      <c r="I39" s="723"/>
      <c r="J39" s="723"/>
      <c r="K39" s="723"/>
      <c r="L39" s="723"/>
    </row>
    <row r="40" spans="1:12">
      <c r="A40" s="825">
        <f t="shared" si="3"/>
        <v>26</v>
      </c>
      <c r="B40" s="773" t="s">
        <v>584</v>
      </c>
      <c r="C40" s="930">
        <v>0</v>
      </c>
      <c r="D40" s="930">
        <v>0</v>
      </c>
      <c r="E40" s="830">
        <v>1471250000</v>
      </c>
      <c r="F40" s="830">
        <v>252127333.49462011</v>
      </c>
      <c r="G40" s="930">
        <v>0</v>
      </c>
      <c r="H40" s="831">
        <f t="shared" si="2"/>
        <v>1723377333.4946201</v>
      </c>
      <c r="I40" s="723"/>
      <c r="J40" s="723"/>
      <c r="K40" s="723"/>
      <c r="L40" s="723"/>
    </row>
    <row r="41" spans="1:12">
      <c r="A41" s="832">
        <f t="shared" si="3"/>
        <v>27</v>
      </c>
      <c r="B41" s="775" t="s">
        <v>715</v>
      </c>
      <c r="C41" s="830">
        <v>0</v>
      </c>
      <c r="D41" s="830">
        <v>0</v>
      </c>
      <c r="E41" s="830">
        <v>1437250000</v>
      </c>
      <c r="F41" s="830">
        <v>301707487.1905638</v>
      </c>
      <c r="G41" s="830">
        <v>0</v>
      </c>
      <c r="H41" s="831">
        <f t="shared" si="2"/>
        <v>1738957487.1905637</v>
      </c>
      <c r="I41" s="723"/>
      <c r="J41" s="723"/>
      <c r="K41" s="723"/>
      <c r="L41" s="723"/>
    </row>
    <row r="42" spans="1:12" ht="13.5" thickBot="1">
      <c r="A42" s="836">
        <f t="shared" si="3"/>
        <v>28</v>
      </c>
      <c r="B42" s="782" t="s">
        <v>716</v>
      </c>
      <c r="C42" s="797">
        <f t="shared" ref="C42:H42" si="4">SUM(C29:C41)/13</f>
        <v>0</v>
      </c>
      <c r="D42" s="777">
        <f t="shared" si="4"/>
        <v>0</v>
      </c>
      <c r="E42" s="777">
        <f t="shared" si="4"/>
        <v>1576942307.6923077</v>
      </c>
      <c r="F42" s="777">
        <f t="shared" si="4"/>
        <v>161871937.53154123</v>
      </c>
      <c r="G42" s="777">
        <f t="shared" si="4"/>
        <v>0</v>
      </c>
      <c r="H42" s="833">
        <f t="shared" si="4"/>
        <v>1738814245.2238491</v>
      </c>
      <c r="I42" s="723"/>
      <c r="J42" s="723"/>
      <c r="K42" s="723"/>
      <c r="L42" s="723"/>
    </row>
    <row r="43" spans="1:12" ht="13.5" thickTop="1">
      <c r="A43" s="817"/>
      <c r="B43" s="837"/>
      <c r="C43" s="838"/>
      <c r="D43" s="839"/>
      <c r="E43" s="839"/>
      <c r="F43" s="839"/>
      <c r="G43" s="838"/>
      <c r="H43" s="838"/>
      <c r="I43" s="723"/>
      <c r="J43" s="723"/>
      <c r="K43" s="723"/>
      <c r="L43" s="723"/>
    </row>
    <row r="44" spans="1:12" ht="12.75" customHeight="1">
      <c r="A44" s="840" t="s">
        <v>749</v>
      </c>
      <c r="F44" s="841"/>
      <c r="G44" s="841"/>
      <c r="H44" s="841"/>
      <c r="I44" s="723"/>
      <c r="J44" s="723"/>
      <c r="K44" s="723"/>
    </row>
    <row r="45" spans="1:12">
      <c r="E45" s="841"/>
      <c r="F45" s="841"/>
      <c r="G45" s="841"/>
      <c r="H45" s="841"/>
      <c r="J45" s="837"/>
    </row>
    <row r="46" spans="1:12" ht="15">
      <c r="A46" s="843" t="s">
        <v>340</v>
      </c>
      <c r="E46" s="841"/>
      <c r="F46" s="841"/>
      <c r="G46" s="841"/>
      <c r="H46" s="724"/>
    </row>
    <row r="47" spans="1:12" ht="15">
      <c r="A47" s="843"/>
      <c r="B47" s="844" t="s">
        <v>708</v>
      </c>
      <c r="C47" s="844" t="s">
        <v>722</v>
      </c>
      <c r="D47" s="845" t="s">
        <v>723</v>
      </c>
      <c r="E47" s="844" t="s">
        <v>709</v>
      </c>
      <c r="F47" s="845" t="s">
        <v>710</v>
      </c>
      <c r="G47" s="844" t="s">
        <v>742</v>
      </c>
      <c r="H47" s="844" t="s">
        <v>750</v>
      </c>
    </row>
    <row r="48" spans="1:12">
      <c r="A48" s="485">
        <f>+A42+1</f>
        <v>29</v>
      </c>
      <c r="B48" s="846" t="str">
        <f>"Annual Interest Expense for "&amp;TCOS!L4</f>
        <v>Annual Interest Expense for 2026</v>
      </c>
      <c r="C48" s="847"/>
      <c r="D48" s="848"/>
      <c r="E48" s="849"/>
      <c r="F48" s="849"/>
      <c r="G48" s="849"/>
      <c r="H48" s="849"/>
      <c r="I48" s="849"/>
      <c r="J48" s="849"/>
      <c r="K48" s="849"/>
      <c r="L48" s="849"/>
    </row>
    <row r="49" spans="1:12">
      <c r="A49" s="485">
        <f>+A48+1</f>
        <v>30</v>
      </c>
      <c r="B49" s="904" t="s">
        <v>767</v>
      </c>
      <c r="C49" s="847"/>
      <c r="D49" s="848"/>
      <c r="E49" s="851">
        <v>74323626.53816545</v>
      </c>
      <c r="F49" s="849"/>
      <c r="G49" s="849"/>
      <c r="H49" s="849"/>
      <c r="I49" s="849"/>
      <c r="J49" s="849"/>
      <c r="K49" s="849"/>
      <c r="L49" s="849"/>
    </row>
    <row r="50" spans="1:12" ht="28.5" customHeight="1">
      <c r="A50" s="485">
        <f t="shared" ref="A50:A55" si="5">+A49+1</f>
        <v>31</v>
      </c>
      <c r="B50" s="1203" t="str">
        <f>"Less: Total Hedge Gain/Expense Accumulated from p 256-257, col. (i) of FERC Form 1  included in Ln "&amp;A49&amp;" and shown in "&amp;A68&amp;" below."</f>
        <v>Less: Total Hedge Gain/Expense Accumulated from p 256-257, col. (i) of FERC Form 1  included in Ln 30 and shown in 43 below.</v>
      </c>
      <c r="C50" s="1204"/>
      <c r="D50" s="848"/>
      <c r="E50" s="847">
        <f>+C68</f>
        <v>0</v>
      </c>
      <c r="F50" s="849"/>
      <c r="G50" s="849"/>
      <c r="H50" s="849"/>
      <c r="I50" s="849"/>
      <c r="J50" s="849"/>
      <c r="K50" s="849"/>
      <c r="L50" s="849"/>
    </row>
    <row r="51" spans="1:12">
      <c r="A51" s="485">
        <f t="shared" si="5"/>
        <v>32</v>
      </c>
      <c r="B51" s="904" t="s">
        <v>768</v>
      </c>
      <c r="C51" s="849"/>
      <c r="D51" s="849"/>
      <c r="E51" s="851">
        <v>0</v>
      </c>
      <c r="F51" s="849"/>
      <c r="G51" s="849"/>
      <c r="H51" s="849"/>
      <c r="I51" s="849"/>
      <c r="J51" s="849"/>
    </row>
    <row r="52" spans="1:12">
      <c r="A52" s="485">
        <f t="shared" si="5"/>
        <v>33</v>
      </c>
      <c r="B52" s="904" t="s">
        <v>769</v>
      </c>
      <c r="C52" s="852"/>
      <c r="D52" s="848"/>
      <c r="E52" s="851">
        <v>0</v>
      </c>
      <c r="F52" s="849"/>
      <c r="G52" s="849"/>
      <c r="H52" s="849"/>
      <c r="I52" s="849"/>
      <c r="J52" s="849"/>
    </row>
    <row r="53" spans="1:12">
      <c r="A53" s="485">
        <f t="shared" si="5"/>
        <v>34</v>
      </c>
      <c r="B53" s="904" t="s">
        <v>770</v>
      </c>
      <c r="C53" s="852"/>
      <c r="D53" s="848"/>
      <c r="E53" s="851"/>
      <c r="F53" s="849"/>
      <c r="G53" s="849"/>
      <c r="H53" s="849"/>
      <c r="I53" s="849"/>
      <c r="J53" s="849"/>
    </row>
    <row r="54" spans="1:12" ht="13.5" thickBot="1">
      <c r="A54" s="485">
        <f t="shared" si="5"/>
        <v>35</v>
      </c>
      <c r="B54" s="904" t="s">
        <v>771</v>
      </c>
      <c r="C54" s="852"/>
      <c r="D54" s="848"/>
      <c r="E54" s="853"/>
      <c r="F54" s="849"/>
      <c r="G54" s="849"/>
      <c r="H54" s="849"/>
      <c r="I54" s="849"/>
      <c r="J54" s="849"/>
    </row>
    <row r="55" spans="1:12">
      <c r="A55" s="485">
        <f t="shared" si="5"/>
        <v>36</v>
      </c>
      <c r="B55" s="846" t="str">
        <f>"Total Interest Expense (Ln "&amp;A49&amp;" - "&amp;A50&amp;" + "&amp;A51&amp;" + "&amp;A52&amp;" - "&amp;A53&amp;" - "&amp;A54&amp;")"</f>
        <v>Total Interest Expense (Ln 30 - 31 + 32 + 33 - 34 - 35)</v>
      </c>
      <c r="C55" s="854"/>
      <c r="D55" s="855"/>
      <c r="E55" s="856">
        <f>+E49-E50+E51+E52-E53-E54</f>
        <v>74323626.53816545</v>
      </c>
      <c r="F55" s="849"/>
      <c r="G55" s="849"/>
      <c r="H55" s="849"/>
      <c r="I55" s="849"/>
      <c r="J55" s="849"/>
    </row>
    <row r="56" spans="1:12" ht="13.5" thickBot="1">
      <c r="A56" s="485"/>
      <c r="B56" s="850"/>
      <c r="C56" s="852"/>
      <c r="D56" s="848"/>
      <c r="E56" s="857"/>
      <c r="F56" s="849"/>
      <c r="G56" s="849"/>
      <c r="H56" s="849"/>
      <c r="I56" s="849"/>
      <c r="J56" s="849"/>
    </row>
    <row r="57" spans="1:12" ht="13.5" thickBot="1">
      <c r="A57" s="485">
        <f>+A55+1</f>
        <v>37</v>
      </c>
      <c r="B57" s="846" t="str">
        <f>"Average Cost of Debt for "&amp;TCOS!L4&amp;" (Ln "&amp;A55&amp;"/ ln "&amp;A42&amp;" (g))"</f>
        <v>Average Cost of Debt for 2026 (Ln 36/ ln 28 (g))</v>
      </c>
      <c r="C57" s="854"/>
      <c r="D57" s="848"/>
      <c r="E57" s="858">
        <f>+E55/H42</f>
        <v>4.2743856477088657E-2</v>
      </c>
      <c r="F57" s="849"/>
      <c r="G57" s="849"/>
      <c r="H57" s="849"/>
      <c r="I57" s="849"/>
      <c r="J57" s="849"/>
    </row>
    <row r="58" spans="1:12">
      <c r="A58" s="859"/>
      <c r="B58" s="850"/>
      <c r="C58" s="852"/>
      <c r="D58" s="848"/>
      <c r="E58" s="852"/>
      <c r="F58" s="849"/>
      <c r="G58" s="849"/>
      <c r="H58" s="849"/>
      <c r="I58" s="849"/>
      <c r="J58" s="849"/>
    </row>
    <row r="59" spans="1:12" ht="16.5" customHeight="1">
      <c r="A59" s="860"/>
      <c r="B59" s="1205" t="s">
        <v>751</v>
      </c>
      <c r="C59" s="1205"/>
      <c r="D59" s="1205"/>
      <c r="E59" s="1205"/>
      <c r="F59" s="861"/>
      <c r="G59" s="849"/>
      <c r="H59" s="849"/>
      <c r="I59" s="849"/>
      <c r="J59" s="849"/>
    </row>
    <row r="60" spans="1:12" ht="21" customHeight="1">
      <c r="A60" s="862">
        <f>+A57+1</f>
        <v>38</v>
      </c>
      <c r="B60" s="1206" t="str">
        <f>""&amp;A4&amp;" may not include costs (or gains) related to interest hedging activities."</f>
        <v>AEP Indiana Michigan Transmission Company may not include costs (or gains) related to interest hedging activities.</v>
      </c>
      <c r="C60" s="1206"/>
      <c r="D60" s="1206"/>
      <c r="E60" s="1206"/>
      <c r="F60" s="1206"/>
      <c r="G60" s="863"/>
      <c r="H60" s="863"/>
      <c r="I60" s="849"/>
      <c r="J60" s="849"/>
    </row>
    <row r="61" spans="1:12">
      <c r="A61" s="864"/>
      <c r="B61" s="865"/>
      <c r="C61" s="865"/>
      <c r="D61" s="865"/>
      <c r="E61" s="1207" t="s">
        <v>227</v>
      </c>
      <c r="F61" s="1207"/>
      <c r="G61" s="723"/>
      <c r="H61" s="723"/>
      <c r="I61" s="849"/>
      <c r="J61" s="849"/>
    </row>
    <row r="62" spans="1:12" ht="38.25">
      <c r="A62" s="485"/>
      <c r="B62" s="867" t="s">
        <v>228</v>
      </c>
      <c r="C62" s="867" t="str">
        <f>"(Amortization of (Gain)/Loss for "&amp;TCOS!L4</f>
        <v>(Amortization of (Gain)/Loss for 2026</v>
      </c>
      <c r="D62" s="866" t="s">
        <v>229</v>
      </c>
      <c r="E62" s="866" t="s">
        <v>86</v>
      </c>
      <c r="F62" s="866" t="s">
        <v>88</v>
      </c>
      <c r="G62" s="723"/>
      <c r="H62" s="723"/>
      <c r="I62" s="849"/>
      <c r="J62" s="849"/>
    </row>
    <row r="63" spans="1:12">
      <c r="A63" s="485">
        <f>+A60+1</f>
        <v>39</v>
      </c>
      <c r="B63" s="868"/>
      <c r="C63" s="835"/>
      <c r="D63" s="868"/>
      <c r="E63" s="868"/>
      <c r="F63" s="869"/>
      <c r="G63" s="723"/>
      <c r="H63" s="723"/>
      <c r="I63" s="849"/>
      <c r="J63" s="849"/>
    </row>
    <row r="64" spans="1:12">
      <c r="A64" s="485">
        <f>+A63+1</f>
        <v>40</v>
      </c>
      <c r="B64" s="868"/>
      <c r="C64" s="835"/>
      <c r="D64" s="868"/>
      <c r="E64" s="868"/>
      <c r="F64" s="869"/>
      <c r="G64" s="870"/>
      <c r="H64" s="870"/>
      <c r="I64" s="849"/>
      <c r="J64" s="849"/>
    </row>
    <row r="65" spans="1:10">
      <c r="A65" s="485">
        <f>+A64+1</f>
        <v>41</v>
      </c>
      <c r="B65" s="868"/>
      <c r="C65" s="835"/>
      <c r="D65" s="871"/>
      <c r="E65" s="871"/>
      <c r="F65" s="869"/>
      <c r="G65" s="870"/>
      <c r="H65" s="870"/>
      <c r="I65" s="849"/>
      <c r="J65" s="849"/>
    </row>
    <row r="66" spans="1:10">
      <c r="A66" s="485">
        <f>+A65+1</f>
        <v>42</v>
      </c>
      <c r="B66" s="868"/>
      <c r="C66" s="835"/>
      <c r="D66" s="871"/>
      <c r="E66" s="871"/>
      <c r="F66" s="872"/>
      <c r="G66" s="873"/>
      <c r="H66" s="874"/>
      <c r="I66" s="849"/>
      <c r="J66" s="849"/>
    </row>
    <row r="67" spans="1:10">
      <c r="A67" s="485"/>
      <c r="B67" s="849"/>
      <c r="C67" s="875"/>
      <c r="D67" s="875"/>
      <c r="E67" s="876"/>
      <c r="F67" s="849"/>
      <c r="G67" s="849"/>
      <c r="H67" s="849"/>
    </row>
    <row r="68" spans="1:10">
      <c r="A68" s="485">
        <f>+A66+1</f>
        <v>43</v>
      </c>
      <c r="B68" s="877" t="s">
        <v>253</v>
      </c>
      <c r="C68" s="857">
        <f>SUM(C63:C67)</f>
        <v>0</v>
      </c>
      <c r="D68" s="857">
        <f>SUM(D63:D67)</f>
        <v>0</v>
      </c>
      <c r="E68" s="857">
        <f>SUM(E63:E67)</f>
        <v>0</v>
      </c>
      <c r="F68" s="878">
        <f>SUM(F63:F67)</f>
        <v>0</v>
      </c>
      <c r="G68" s="849"/>
      <c r="H68" s="849"/>
    </row>
    <row r="69" spans="1:10">
      <c r="A69" s="485"/>
      <c r="B69" s="850"/>
      <c r="C69" s="857"/>
      <c r="D69" s="857"/>
      <c r="E69" s="857"/>
      <c r="F69" s="849"/>
      <c r="G69" s="849"/>
      <c r="H69" s="849"/>
    </row>
    <row r="70" spans="1:10">
      <c r="A70" s="485"/>
      <c r="B70" s="846"/>
      <c r="C70" s="852"/>
      <c r="D70" s="848"/>
      <c r="E70" s="879"/>
      <c r="F70" s="849"/>
      <c r="G70" s="849"/>
      <c r="H70" s="849"/>
    </row>
    <row r="71" spans="1:10">
      <c r="A71" s="485"/>
      <c r="B71" s="846"/>
      <c r="C71" s="852"/>
      <c r="D71" s="848"/>
      <c r="E71" s="879"/>
      <c r="F71" s="849"/>
      <c r="G71" s="849"/>
      <c r="H71" s="849"/>
    </row>
    <row r="72" spans="1:10" ht="15">
      <c r="A72" s="880" t="s">
        <v>345</v>
      </c>
      <c r="B72" s="846"/>
      <c r="C72" s="852"/>
      <c r="D72" s="848"/>
      <c r="E72" s="879"/>
      <c r="F72" s="849"/>
      <c r="G72" s="849"/>
      <c r="H72" s="849"/>
    </row>
    <row r="73" spans="1:10">
      <c r="A73" s="485"/>
      <c r="B73" s="846"/>
      <c r="C73" s="852"/>
      <c r="D73" s="848"/>
      <c r="E73" s="879"/>
      <c r="F73" s="849"/>
      <c r="G73" s="849"/>
      <c r="H73" s="849"/>
    </row>
    <row r="74" spans="1:10">
      <c r="A74" s="881">
        <f>+A68+1</f>
        <v>44</v>
      </c>
      <c r="B74" s="848" t="str">
        <f>"Balance of Preferred Stock (Line "&amp;A23&amp;" (c))"</f>
        <v>Balance of Preferred Stock (Line 14 (c))</v>
      </c>
      <c r="E74" s="882">
        <f>+D23</f>
        <v>0</v>
      </c>
    </row>
    <row r="75" spans="1:10">
      <c r="A75" s="485">
        <f>+A74+1</f>
        <v>45</v>
      </c>
      <c r="B75" s="848" t="s">
        <v>752</v>
      </c>
      <c r="E75" s="872"/>
    </row>
    <row r="76" spans="1:10">
      <c r="A76" s="485">
        <f>+A75+1</f>
        <v>46</v>
      </c>
      <c r="B76" s="848" t="str">
        <f>"Average Cost of Preferred Stock (Ln "&amp;A75&amp;" / ln "&amp;A74&amp;")"</f>
        <v>Average Cost of Preferred Stock (Ln 45 / ln 44)</v>
      </c>
      <c r="E76" s="883"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opLeftCell="A40" zoomScale="90" zoomScaleNormal="90" zoomScaleSheetLayoutView="70" workbookViewId="0">
      <selection activeCell="E14" sqref="E14"/>
    </sheetView>
  </sheetViews>
  <sheetFormatPr defaultColWidth="11.42578125" defaultRowHeight="12.75"/>
  <cols>
    <col min="1" max="1" width="10.28515625" style="798"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39" t="str">
        <f>TCOS!F5</f>
        <v>AEPTCo subsidiaries in PJM</v>
      </c>
      <c r="B1" s="1139" t="s">
        <v>329</v>
      </c>
      <c r="C1" s="1139" t="s">
        <v>329</v>
      </c>
      <c r="D1" s="1139" t="s">
        <v>329</v>
      </c>
      <c r="E1" s="1139" t="s">
        <v>329</v>
      </c>
      <c r="F1" s="1139" t="s">
        <v>329</v>
      </c>
      <c r="G1" s="1139" t="s">
        <v>329</v>
      </c>
      <c r="H1" s="47"/>
      <c r="I1" s="47"/>
    </row>
    <row r="2" spans="1:12" ht="15">
      <c r="A2" s="1140" t="str">
        <f>"Cost of Service Formula Rate Using Actual/Projected FF1 Balances"</f>
        <v>Cost of Service Formula Rate Using Actual/Projected FF1 Balances</v>
      </c>
      <c r="B2" s="1140"/>
      <c r="C2" s="1140"/>
      <c r="D2" s="1140"/>
      <c r="E2" s="1140"/>
      <c r="F2" s="1140"/>
      <c r="G2" s="1140"/>
      <c r="H2" s="47"/>
      <c r="I2" s="47"/>
      <c r="J2" s="47"/>
      <c r="L2" s="759"/>
    </row>
    <row r="3" spans="1:12" ht="15">
      <c r="A3" s="1140" t="s">
        <v>701</v>
      </c>
      <c r="B3" s="1140"/>
      <c r="C3" s="1140"/>
      <c r="D3" s="1140"/>
      <c r="E3" s="1140"/>
      <c r="F3" s="1140"/>
      <c r="G3" s="1140"/>
      <c r="H3" s="47"/>
      <c r="I3" s="47"/>
      <c r="J3" s="47"/>
    </row>
    <row r="4" spans="1:12" ht="15">
      <c r="A4" s="1141" t="str">
        <f>TCOS!F9</f>
        <v>AEP Indiana Michigan Transmission Company</v>
      </c>
      <c r="B4" s="1141"/>
      <c r="C4" s="1141"/>
      <c r="D4" s="1141"/>
      <c r="E4" s="1141"/>
      <c r="F4" s="1141"/>
      <c r="G4" s="1141"/>
      <c r="H4" s="47"/>
      <c r="I4" s="47"/>
      <c r="J4" s="47"/>
    </row>
    <row r="5" spans="1:12">
      <c r="A5" s="47"/>
      <c r="B5" s="760"/>
      <c r="C5" s="760"/>
      <c r="D5" s="760"/>
      <c r="E5" s="761"/>
      <c r="F5" s="762"/>
      <c r="H5" s="762"/>
      <c r="J5" s="762"/>
      <c r="L5" s="762"/>
    </row>
    <row r="6" spans="1:12" ht="12.75" customHeight="1">
      <c r="A6" s="47"/>
      <c r="B6" s="760"/>
      <c r="C6" s="1142" t="s">
        <v>702</v>
      </c>
      <c r="D6" s="1143"/>
      <c r="E6" s="1143"/>
      <c r="F6" s="1143"/>
      <c r="G6" s="1143"/>
      <c r="H6" s="1143"/>
      <c r="I6" s="1144"/>
      <c r="J6" s="763"/>
      <c r="K6" s="763"/>
    </row>
    <row r="7" spans="1:12" s="513" customFormat="1" ht="25.5">
      <c r="A7" s="764" t="s">
        <v>703</v>
      </c>
      <c r="B7" s="765" t="s">
        <v>704</v>
      </c>
      <c r="C7" s="766" t="s">
        <v>415</v>
      </c>
      <c r="D7" s="766" t="s">
        <v>705</v>
      </c>
      <c r="E7" s="766" t="s">
        <v>136</v>
      </c>
      <c r="F7" s="766" t="s">
        <v>706</v>
      </c>
      <c r="G7" s="1086" t="s">
        <v>707</v>
      </c>
      <c r="H7" s="1090"/>
      <c r="I7" s="1091"/>
      <c r="L7" s="3"/>
    </row>
    <row r="8" spans="1:12" s="769" customFormat="1">
      <c r="A8" s="767"/>
      <c r="B8" s="768" t="s">
        <v>708</v>
      </c>
      <c r="C8" s="1088" t="s">
        <v>722</v>
      </c>
      <c r="D8" s="1088" t="s">
        <v>723</v>
      </c>
      <c r="E8" s="1088" t="s">
        <v>709</v>
      </c>
      <c r="F8" s="1088" t="s">
        <v>710</v>
      </c>
      <c r="G8" s="1089" t="s">
        <v>742</v>
      </c>
      <c r="H8" s="1088"/>
      <c r="I8" s="1092"/>
      <c r="L8" s="3"/>
    </row>
    <row r="9" spans="1:12" s="769" customFormat="1" ht="44.25" customHeight="1">
      <c r="A9" s="767"/>
      <c r="B9" s="768" t="s">
        <v>711</v>
      </c>
      <c r="C9" s="770" t="s">
        <v>231</v>
      </c>
      <c r="D9" s="770" t="s">
        <v>232</v>
      </c>
      <c r="E9" s="770" t="s">
        <v>233</v>
      </c>
      <c r="F9" s="770" t="s">
        <v>234</v>
      </c>
      <c r="G9" s="770" t="s">
        <v>235</v>
      </c>
      <c r="H9" s="1093"/>
      <c r="I9" s="1094"/>
      <c r="L9" s="3"/>
    </row>
    <row r="10" spans="1:12">
      <c r="A10" s="767">
        <v>1</v>
      </c>
      <c r="B10" s="771" t="s">
        <v>712</v>
      </c>
      <c r="C10" s="1060">
        <v>4519266667.2805777</v>
      </c>
      <c r="D10" s="772"/>
      <c r="E10" s="1060">
        <v>105148144.51349464</v>
      </c>
      <c r="F10" s="772"/>
      <c r="G10" s="1060"/>
      <c r="H10" s="1081"/>
      <c r="I10" s="1082"/>
    </row>
    <row r="11" spans="1:12">
      <c r="A11" s="767">
        <f>+A10+1</f>
        <v>2</v>
      </c>
      <c r="B11" s="771" t="s">
        <v>574</v>
      </c>
      <c r="C11" s="1061">
        <v>4563948045.8397589</v>
      </c>
      <c r="D11" s="928"/>
      <c r="E11" s="1061">
        <v>105153746.74831122</v>
      </c>
      <c r="F11" s="928"/>
      <c r="G11" s="1061"/>
      <c r="H11" s="1081"/>
      <c r="I11" s="1083"/>
    </row>
    <row r="12" spans="1:12">
      <c r="A12" s="767">
        <f t="shared" ref="A12:A23" si="0">+A11+1</f>
        <v>3</v>
      </c>
      <c r="B12" s="773" t="s">
        <v>575</v>
      </c>
      <c r="C12" s="1061">
        <v>4594999979.4947758</v>
      </c>
      <c r="D12" s="928"/>
      <c r="E12" s="1061">
        <v>105160361.24239507</v>
      </c>
      <c r="F12" s="928"/>
      <c r="G12" s="1061"/>
      <c r="H12" s="1081"/>
      <c r="I12" s="1083"/>
    </row>
    <row r="13" spans="1:12">
      <c r="A13" s="767">
        <f t="shared" si="0"/>
        <v>4</v>
      </c>
      <c r="B13" s="773" t="s">
        <v>713</v>
      </c>
      <c r="C13" s="1061">
        <v>4619711730.9580679</v>
      </c>
      <c r="D13" s="928"/>
      <c r="E13" s="1061">
        <v>103521986.65613636</v>
      </c>
      <c r="F13" s="928"/>
      <c r="G13" s="1061"/>
      <c r="H13" s="1081"/>
      <c r="I13" s="1083"/>
    </row>
    <row r="14" spans="1:12">
      <c r="A14" s="767">
        <f t="shared" si="0"/>
        <v>5</v>
      </c>
      <c r="B14" s="773" t="s">
        <v>577</v>
      </c>
      <c r="C14" s="1061">
        <v>4624065279.1759291</v>
      </c>
      <c r="D14" s="928"/>
      <c r="E14" s="1061">
        <v>103531051.50652847</v>
      </c>
      <c r="F14" s="928"/>
      <c r="G14" s="1061"/>
      <c r="H14" s="1081"/>
      <c r="I14" s="1083"/>
    </row>
    <row r="15" spans="1:12">
      <c r="A15" s="767">
        <f t="shared" si="0"/>
        <v>6</v>
      </c>
      <c r="B15" s="773" t="s">
        <v>578</v>
      </c>
      <c r="C15" s="1061">
        <v>4638689960.2253513</v>
      </c>
      <c r="D15" s="928"/>
      <c r="E15" s="1061">
        <v>103518312.04741694</v>
      </c>
      <c r="F15" s="928"/>
      <c r="G15" s="1061"/>
      <c r="H15" s="1081"/>
      <c r="I15" s="1083"/>
    </row>
    <row r="16" spans="1:12">
      <c r="A16" s="767">
        <f t="shared" si="0"/>
        <v>7</v>
      </c>
      <c r="B16" s="773" t="s">
        <v>579</v>
      </c>
      <c r="C16" s="1061">
        <v>4642433912.7358475</v>
      </c>
      <c r="D16" s="928"/>
      <c r="E16" s="1061">
        <v>102370825.69839731</v>
      </c>
      <c r="F16" s="928"/>
      <c r="G16" s="1061"/>
      <c r="H16" s="1081"/>
      <c r="I16" s="1083"/>
    </row>
    <row r="17" spans="1:12">
      <c r="A17" s="767">
        <f t="shared" si="0"/>
        <v>8</v>
      </c>
      <c r="B17" s="773" t="s">
        <v>580</v>
      </c>
      <c r="C17" s="1061">
        <v>4659331253.6756802</v>
      </c>
      <c r="D17" s="928"/>
      <c r="E17" s="1061">
        <v>102395585.69461003</v>
      </c>
      <c r="F17" s="928"/>
      <c r="G17" s="1061"/>
      <c r="H17" s="1081"/>
      <c r="I17" s="1083"/>
    </row>
    <row r="18" spans="1:12">
      <c r="A18" s="767">
        <f t="shared" si="0"/>
        <v>9</v>
      </c>
      <c r="B18" s="773" t="s">
        <v>714</v>
      </c>
      <c r="C18" s="1061">
        <v>4677064577.877429</v>
      </c>
      <c r="D18" s="928"/>
      <c r="E18" s="1061">
        <v>102460253.43676707</v>
      </c>
      <c r="F18" s="928"/>
      <c r="G18" s="1061"/>
      <c r="H18" s="1081"/>
      <c r="I18" s="1083"/>
    </row>
    <row r="19" spans="1:12">
      <c r="A19" s="767">
        <f t="shared" si="0"/>
        <v>10</v>
      </c>
      <c r="B19" s="773" t="s">
        <v>582</v>
      </c>
      <c r="C19" s="1061">
        <v>4698682506.3120184</v>
      </c>
      <c r="D19" s="928"/>
      <c r="E19" s="1061">
        <v>101078350.35936968</v>
      </c>
      <c r="F19" s="928"/>
      <c r="G19" s="1061"/>
      <c r="H19" s="1081"/>
      <c r="I19" s="1083"/>
    </row>
    <row r="20" spans="1:12">
      <c r="A20" s="767">
        <f t="shared" si="0"/>
        <v>11</v>
      </c>
      <c r="B20" s="773" t="s">
        <v>583</v>
      </c>
      <c r="C20" s="1061">
        <v>4712237650.6955509</v>
      </c>
      <c r="D20" s="928"/>
      <c r="E20" s="1061">
        <v>101118468.97527598</v>
      </c>
      <c r="F20" s="928"/>
      <c r="G20" s="1061"/>
      <c r="H20" s="1081"/>
      <c r="I20" s="1083"/>
    </row>
    <row r="21" spans="1:12">
      <c r="A21" s="767">
        <f t="shared" si="0"/>
        <v>12</v>
      </c>
      <c r="B21" s="773" t="s">
        <v>584</v>
      </c>
      <c r="C21" s="1061">
        <v>4730090034.6037197</v>
      </c>
      <c r="D21" s="928"/>
      <c r="E21" s="1061">
        <v>101163305.80241853</v>
      </c>
      <c r="F21" s="928"/>
      <c r="G21" s="1061"/>
      <c r="H21" s="1081"/>
      <c r="I21" s="1083"/>
    </row>
    <row r="22" spans="1:12">
      <c r="A22" s="774">
        <f t="shared" si="0"/>
        <v>13</v>
      </c>
      <c r="B22" s="775" t="s">
        <v>715</v>
      </c>
      <c r="C22" s="1062">
        <v>4741734406.3573246</v>
      </c>
      <c r="D22" s="772"/>
      <c r="E22" s="1062">
        <v>99512078.849359125</v>
      </c>
      <c r="F22" s="772"/>
      <c r="G22" s="1062"/>
      <c r="H22" s="1081"/>
      <c r="I22" s="1083"/>
    </row>
    <row r="23" spans="1:12" ht="13.5" thickBot="1">
      <c r="A23" s="774">
        <f t="shared" si="0"/>
        <v>14</v>
      </c>
      <c r="B23" s="776" t="s">
        <v>716</v>
      </c>
      <c r="C23" s="777">
        <f>SUM(C10:C22)/13</f>
        <v>4647865846.5563107</v>
      </c>
      <c r="D23" s="777">
        <f t="shared" ref="D23:G23" si="1">SUM(D10:D22)/13</f>
        <v>0</v>
      </c>
      <c r="E23" s="777">
        <f t="shared" si="1"/>
        <v>102779420.88696001</v>
      </c>
      <c r="F23" s="777">
        <f t="shared" si="1"/>
        <v>0</v>
      </c>
      <c r="G23" s="777">
        <f t="shared" si="1"/>
        <v>0</v>
      </c>
      <c r="H23" s="1084"/>
      <c r="I23" s="1085"/>
    </row>
    <row r="24" spans="1:12" ht="13.5" thickTop="1">
      <c r="A24" s="47"/>
      <c r="B24" s="778"/>
      <c r="C24" s="779"/>
      <c r="D24" s="780"/>
      <c r="E24" s="780"/>
      <c r="F24" s="780"/>
      <c r="G24" s="779"/>
      <c r="H24" s="779"/>
      <c r="I24" s="779"/>
    </row>
    <row r="25" spans="1:12" ht="12.75" customHeight="1">
      <c r="A25" s="47"/>
      <c r="B25" s="760"/>
      <c r="C25" s="1145" t="s">
        <v>717</v>
      </c>
      <c r="D25" s="1146"/>
      <c r="E25" s="1146"/>
      <c r="F25" s="1146"/>
      <c r="G25" s="1146"/>
      <c r="H25" s="1146"/>
      <c r="I25" s="1147"/>
      <c r="J25"/>
      <c r="K25"/>
    </row>
    <row r="26" spans="1:12" s="513" customFormat="1" ht="25.5">
      <c r="A26" s="764" t="s">
        <v>703</v>
      </c>
      <c r="B26" s="765" t="s">
        <v>704</v>
      </c>
      <c r="C26" s="766" t="s">
        <v>415</v>
      </c>
      <c r="D26" s="766" t="s">
        <v>705</v>
      </c>
      <c r="E26" s="766" t="s">
        <v>136</v>
      </c>
      <c r="F26" s="766" t="s">
        <v>706</v>
      </c>
      <c r="G26" s="1086" t="s">
        <v>707</v>
      </c>
      <c r="H26" s="1095"/>
      <c r="I26" s="1096"/>
      <c r="J26"/>
      <c r="K26"/>
      <c r="L26" s="3"/>
    </row>
    <row r="27" spans="1:12" s="769" customFormat="1">
      <c r="A27" s="767"/>
      <c r="B27" s="768" t="s">
        <v>708</v>
      </c>
      <c r="C27" s="1088" t="s">
        <v>722</v>
      </c>
      <c r="D27" s="1088" t="s">
        <v>723</v>
      </c>
      <c r="E27" s="1088" t="s">
        <v>709</v>
      </c>
      <c r="F27" s="1088" t="s">
        <v>710</v>
      </c>
      <c r="G27" s="1089" t="s">
        <v>742</v>
      </c>
      <c r="H27" s="1088"/>
      <c r="I27" s="1092"/>
      <c r="J27"/>
      <c r="K27"/>
      <c r="L27" s="3"/>
    </row>
    <row r="28" spans="1:12" s="769" customFormat="1" ht="44.25" customHeight="1">
      <c r="A28" s="767"/>
      <c r="B28" s="768" t="s">
        <v>711</v>
      </c>
      <c r="C28" s="770" t="s">
        <v>180</v>
      </c>
      <c r="D28" s="770" t="str">
        <f>"Company Records (Included in total in Column "&amp;C27&amp;")"</f>
        <v>Company Records (Included in total in Column (b))</v>
      </c>
      <c r="E28" s="770" t="s">
        <v>8</v>
      </c>
      <c r="F28" s="770" t="str">
        <f>"Company Records (Included in total in Column "&amp;E27&amp;")"</f>
        <v>Company Records (Included in total in Column (d))</v>
      </c>
      <c r="G28" s="770" t="s">
        <v>302</v>
      </c>
      <c r="H28" s="1093"/>
      <c r="I28" s="1094"/>
      <c r="J28"/>
      <c r="K28"/>
      <c r="L28" s="3"/>
    </row>
    <row r="29" spans="1:12">
      <c r="A29" s="767">
        <f>+A23+1</f>
        <v>15</v>
      </c>
      <c r="B29" s="771" t="s">
        <v>712</v>
      </c>
      <c r="C29" s="1060">
        <v>646468412.99362421</v>
      </c>
      <c r="D29" s="772"/>
      <c r="E29" s="1060">
        <v>28880139.163062397</v>
      </c>
      <c r="F29" s="772"/>
      <c r="G29" s="1060"/>
      <c r="H29" s="1081"/>
      <c r="I29" s="1082"/>
      <c r="J29"/>
      <c r="K29"/>
    </row>
    <row r="30" spans="1:12">
      <c r="A30" s="767">
        <f>+A29+1</f>
        <v>16</v>
      </c>
      <c r="B30" s="771" t="s">
        <v>574</v>
      </c>
      <c r="C30" s="1061">
        <v>656833184.74335432</v>
      </c>
      <c r="D30" s="928"/>
      <c r="E30" s="1061">
        <v>29555222.100314714</v>
      </c>
      <c r="F30" s="928"/>
      <c r="G30" s="1061"/>
      <c r="H30" s="1081"/>
      <c r="I30" s="1083"/>
      <c r="J30"/>
      <c r="K30"/>
    </row>
    <row r="31" spans="1:12">
      <c r="A31" s="767">
        <f t="shared" ref="A31:A42" si="2">+A30+1</f>
        <v>17</v>
      </c>
      <c r="B31" s="773" t="s">
        <v>575</v>
      </c>
      <c r="C31" s="1061">
        <v>667301328.18643999</v>
      </c>
      <c r="D31" s="928"/>
      <c r="E31" s="1061">
        <v>30230316.522148408</v>
      </c>
      <c r="F31" s="928"/>
      <c r="G31" s="1061"/>
      <c r="H31" s="1081"/>
      <c r="I31" s="1083"/>
      <c r="J31"/>
      <c r="K31"/>
    </row>
    <row r="32" spans="1:12">
      <c r="A32" s="767">
        <f t="shared" si="2"/>
        <v>18</v>
      </c>
      <c r="B32" s="773" t="s">
        <v>713</v>
      </c>
      <c r="C32" s="1061">
        <v>677512046.7658546</v>
      </c>
      <c r="D32" s="928"/>
      <c r="E32" s="1061">
        <v>29257156.896334689</v>
      </c>
      <c r="F32" s="928"/>
      <c r="G32" s="1061"/>
      <c r="H32" s="1081"/>
      <c r="I32" s="1083"/>
      <c r="J32"/>
      <c r="K32"/>
    </row>
    <row r="33" spans="1:11">
      <c r="A33" s="767">
        <f t="shared" si="2"/>
        <v>19</v>
      </c>
      <c r="B33" s="773" t="s">
        <v>577</v>
      </c>
      <c r="C33" s="1061">
        <v>688109795.79161179</v>
      </c>
      <c r="D33" s="928"/>
      <c r="E33" s="1061">
        <v>29907070.96489111</v>
      </c>
      <c r="F33" s="928"/>
      <c r="G33" s="1061"/>
      <c r="H33" s="1081"/>
      <c r="I33" s="1083"/>
      <c r="J33"/>
      <c r="K33"/>
    </row>
    <row r="34" spans="1:11">
      <c r="A34" s="767">
        <f t="shared" si="2"/>
        <v>20</v>
      </c>
      <c r="B34" s="773" t="s">
        <v>578</v>
      </c>
      <c r="C34" s="1061">
        <v>698722367.80517554</v>
      </c>
      <c r="D34" s="928"/>
      <c r="E34" s="1061">
        <v>30557003.616390824</v>
      </c>
      <c r="F34" s="928"/>
      <c r="G34" s="1061"/>
      <c r="H34" s="1081"/>
      <c r="I34" s="1083"/>
      <c r="J34"/>
      <c r="K34"/>
    </row>
    <row r="35" spans="1:11">
      <c r="A35" s="767">
        <f t="shared" si="2"/>
        <v>21</v>
      </c>
      <c r="B35" s="773" t="s">
        <v>579</v>
      </c>
      <c r="C35" s="1061">
        <v>709139074.84552574</v>
      </c>
      <c r="D35" s="928"/>
      <c r="E35" s="1061">
        <v>30049870.990830265</v>
      </c>
      <c r="F35" s="928"/>
      <c r="G35" s="1061"/>
      <c r="H35" s="1081"/>
      <c r="I35" s="1083"/>
      <c r="J35"/>
      <c r="K35"/>
    </row>
    <row r="36" spans="1:11">
      <c r="A36" s="767">
        <f t="shared" si="2"/>
        <v>22</v>
      </c>
      <c r="B36" s="773" t="s">
        <v>580</v>
      </c>
      <c r="C36" s="1061">
        <v>719797708.79413915</v>
      </c>
      <c r="D36" s="928"/>
      <c r="E36" s="1061">
        <v>30682097.429519057</v>
      </c>
      <c r="F36" s="928"/>
      <c r="G36" s="1061"/>
      <c r="H36" s="1081"/>
      <c r="I36" s="1083"/>
      <c r="J36"/>
      <c r="K36"/>
    </row>
    <row r="37" spans="1:11">
      <c r="A37" s="767">
        <f t="shared" si="2"/>
        <v>23</v>
      </c>
      <c r="B37" s="773" t="s">
        <v>714</v>
      </c>
      <c r="C37" s="1061">
        <v>730499451.23485863</v>
      </c>
      <c r="D37" s="928"/>
      <c r="E37" s="1061">
        <v>31314374.626200099</v>
      </c>
      <c r="F37" s="928"/>
      <c r="G37" s="1061"/>
      <c r="H37" s="1081"/>
      <c r="I37" s="1083"/>
      <c r="J37"/>
      <c r="K37"/>
    </row>
    <row r="38" spans="1:11">
      <c r="A38" s="767">
        <f t="shared" si="2"/>
        <v>24</v>
      </c>
      <c r="B38" s="773" t="s">
        <v>582</v>
      </c>
      <c r="C38" s="1061">
        <v>740955468.45287001</v>
      </c>
      <c r="D38" s="928"/>
      <c r="E38" s="1061">
        <v>30504225.785134837</v>
      </c>
      <c r="F38" s="928"/>
      <c r="G38" s="1061"/>
      <c r="H38" s="1081"/>
      <c r="I38" s="1083"/>
      <c r="J38"/>
      <c r="K38"/>
    </row>
    <row r="39" spans="1:11">
      <c r="A39" s="767">
        <f t="shared" si="2"/>
        <v>25</v>
      </c>
      <c r="B39" s="773" t="s">
        <v>583</v>
      </c>
      <c r="C39" s="1061">
        <v>751750374.28958225</v>
      </c>
      <c r="D39" s="928"/>
      <c r="E39" s="1061">
        <v>31114692.511808068</v>
      </c>
      <c r="F39" s="928"/>
      <c r="G39" s="1061"/>
      <c r="H39" s="1081"/>
      <c r="I39" s="1083"/>
      <c r="J39"/>
      <c r="K39"/>
    </row>
    <row r="40" spans="1:11">
      <c r="A40" s="767">
        <f t="shared" si="2"/>
        <v>26</v>
      </c>
      <c r="B40" s="773" t="s">
        <v>584</v>
      </c>
      <c r="C40" s="1061">
        <v>762579967.02098048</v>
      </c>
      <c r="D40" s="928"/>
      <c r="E40" s="1061">
        <v>31725241.481643908</v>
      </c>
      <c r="F40" s="928"/>
      <c r="G40" s="1061"/>
      <c r="H40" s="1081"/>
      <c r="I40" s="1083"/>
      <c r="J40"/>
      <c r="K40"/>
    </row>
    <row r="41" spans="1:11">
      <c r="A41" s="774">
        <f t="shared" si="2"/>
        <v>27</v>
      </c>
      <c r="B41" s="775" t="s">
        <v>715</v>
      </c>
      <c r="C41" s="1062">
        <v>773111814.47701085</v>
      </c>
      <c r="D41" s="772"/>
      <c r="E41" s="1062">
        <v>30632044.187220756</v>
      </c>
      <c r="F41" s="772"/>
      <c r="G41" s="1062"/>
      <c r="H41" s="1081"/>
      <c r="I41" s="1083"/>
      <c r="J41"/>
      <c r="K41"/>
    </row>
    <row r="42" spans="1:11" ht="13.5" thickBot="1">
      <c r="A42" s="781">
        <f t="shared" si="2"/>
        <v>28</v>
      </c>
      <c r="B42" s="782" t="s">
        <v>716</v>
      </c>
      <c r="C42" s="777">
        <f t="shared" ref="C42:G42" si="3">SUM(C29:C41)/13</f>
        <v>709444691.95392525</v>
      </c>
      <c r="D42" s="777">
        <f t="shared" si="3"/>
        <v>0</v>
      </c>
      <c r="E42" s="777">
        <f t="shared" si="3"/>
        <v>30339188.944269165</v>
      </c>
      <c r="F42" s="777">
        <f t="shared" si="3"/>
        <v>0</v>
      </c>
      <c r="G42" s="777">
        <f t="shared" si="3"/>
        <v>0</v>
      </c>
      <c r="H42" s="1084"/>
      <c r="I42" s="1085"/>
      <c r="J42"/>
      <c r="K42"/>
    </row>
    <row r="43" spans="1:11" ht="13.5" thickTop="1">
      <c r="A43" s="47"/>
      <c r="B43" s="778"/>
      <c r="C43" s="779"/>
      <c r="D43" s="780"/>
      <c r="E43" s="780"/>
      <c r="F43" s="780"/>
      <c r="G43" s="779"/>
      <c r="H43"/>
      <c r="I43"/>
      <c r="J43"/>
      <c r="K43"/>
    </row>
    <row r="44" spans="1:11">
      <c r="A44" s="47"/>
      <c r="B44" s="778"/>
      <c r="C44" s="779"/>
      <c r="D44" s="780"/>
      <c r="E44" s="780"/>
      <c r="F44" s="780"/>
      <c r="G44" s="779"/>
      <c r="H44" s="779"/>
      <c r="I44" s="779"/>
    </row>
    <row r="45" spans="1:11">
      <c r="A45" s="783"/>
      <c r="B45" s="784"/>
      <c r="C45" s="785"/>
      <c r="D45" s="786"/>
      <c r="E45" s="786"/>
      <c r="F45" s="786"/>
      <c r="G45" s="1073"/>
      <c r="H45" s="1074"/>
    </row>
    <row r="46" spans="1:11" ht="72" customHeight="1">
      <c r="A46" s="787" t="s">
        <v>703</v>
      </c>
      <c r="B46" s="762" t="s">
        <v>704</v>
      </c>
      <c r="C46" s="788" t="s">
        <v>718</v>
      </c>
      <c r="D46" s="766" t="s">
        <v>719</v>
      </c>
      <c r="E46" s="766" t="s">
        <v>720</v>
      </c>
      <c r="F46" s="766" t="s">
        <v>721</v>
      </c>
      <c r="G46" s="1090"/>
      <c r="H46" s="1091"/>
    </row>
    <row r="47" spans="1:11" s="769" customFormat="1">
      <c r="A47" s="767"/>
      <c r="B47" s="762" t="s">
        <v>708</v>
      </c>
      <c r="C47" s="789" t="s">
        <v>722</v>
      </c>
      <c r="D47" s="762" t="s">
        <v>723</v>
      </c>
      <c r="E47" s="762" t="s">
        <v>709</v>
      </c>
      <c r="F47" s="762" t="s">
        <v>710</v>
      </c>
      <c r="G47" s="1088"/>
      <c r="H47" s="1092"/>
    </row>
    <row r="48" spans="1:11" s="769" customFormat="1" ht="63.75">
      <c r="A48" s="767"/>
      <c r="B48" s="762" t="s">
        <v>711</v>
      </c>
      <c r="C48" s="790" t="str">
        <f>"Company Records (included in total in column "&amp;C8&amp;" of gross plant above)"</f>
        <v>Company Records (included in total in column (b) of gross plant above)</v>
      </c>
      <c r="D48" s="791" t="str">
        <f>"Company Records (included in total in column "&amp;C27&amp;" of accumulated depreciation above)"</f>
        <v>Company Records (included in total in column (b) of accumulated depreciation above)</v>
      </c>
      <c r="E48" s="791" t="s">
        <v>907</v>
      </c>
      <c r="F48" s="791" t="s">
        <v>908</v>
      </c>
      <c r="G48" s="1097"/>
      <c r="H48" s="1098"/>
    </row>
    <row r="49" spans="1:9">
      <c r="A49" s="767">
        <f>+A42+1</f>
        <v>29</v>
      </c>
      <c r="B49" s="792" t="s">
        <v>712</v>
      </c>
      <c r="C49" s="793">
        <v>0</v>
      </c>
      <c r="D49" s="772">
        <v>0</v>
      </c>
      <c r="E49" s="772">
        <v>131908695.83543751</v>
      </c>
      <c r="F49" s="1087">
        <v>21656273.716988333</v>
      </c>
      <c r="G49" s="1075"/>
      <c r="H49" s="1076"/>
    </row>
    <row r="50" spans="1:9">
      <c r="A50" s="767">
        <f>+A49+1</f>
        <v>30</v>
      </c>
      <c r="B50" s="792" t="s">
        <v>574</v>
      </c>
      <c r="C50" s="929">
        <v>0</v>
      </c>
      <c r="D50" s="928">
        <v>0</v>
      </c>
      <c r="E50" s="772">
        <v>131908695.83543751</v>
      </c>
      <c r="F50" s="1087">
        <v>21925706.567289799</v>
      </c>
      <c r="G50" s="1075"/>
      <c r="H50" s="1077"/>
    </row>
    <row r="51" spans="1:9">
      <c r="A51" s="767">
        <f t="shared" ref="A51:A62" si="4">+A50+1</f>
        <v>31</v>
      </c>
      <c r="B51" s="778" t="s">
        <v>575</v>
      </c>
      <c r="C51" s="929">
        <v>0</v>
      </c>
      <c r="D51" s="928">
        <v>0</v>
      </c>
      <c r="E51" s="772">
        <v>131908695.83543751</v>
      </c>
      <c r="F51" s="1087">
        <v>22195139.417591266</v>
      </c>
      <c r="G51" s="1075"/>
      <c r="H51" s="1077"/>
    </row>
    <row r="52" spans="1:9">
      <c r="A52" s="767">
        <f t="shared" si="4"/>
        <v>32</v>
      </c>
      <c r="B52" s="778" t="s">
        <v>713</v>
      </c>
      <c r="C52" s="929">
        <v>0</v>
      </c>
      <c r="D52" s="928">
        <v>0</v>
      </c>
      <c r="E52" s="772">
        <v>131908695.83543751</v>
      </c>
      <c r="F52" s="1087">
        <v>22464572.267892729</v>
      </c>
      <c r="G52" s="1075"/>
      <c r="H52" s="1077"/>
    </row>
    <row r="53" spans="1:9">
      <c r="A53" s="767">
        <f t="shared" si="4"/>
        <v>33</v>
      </c>
      <c r="B53" s="778" t="s">
        <v>577</v>
      </c>
      <c r="C53" s="929">
        <v>0</v>
      </c>
      <c r="D53" s="928">
        <v>0</v>
      </c>
      <c r="E53" s="772">
        <v>131908695.83543751</v>
      </c>
      <c r="F53" s="1087">
        <v>22734005.118194196</v>
      </c>
      <c r="G53" s="1075"/>
      <c r="H53" s="1077"/>
    </row>
    <row r="54" spans="1:9">
      <c r="A54" s="767">
        <f t="shared" si="4"/>
        <v>34</v>
      </c>
      <c r="B54" s="778" t="s">
        <v>578</v>
      </c>
      <c r="C54" s="929">
        <v>0</v>
      </c>
      <c r="D54" s="928">
        <v>0</v>
      </c>
      <c r="E54" s="772">
        <v>131908695.83543751</v>
      </c>
      <c r="F54" s="1087">
        <v>23003437.968495663</v>
      </c>
      <c r="G54" s="1075"/>
      <c r="H54" s="1077"/>
    </row>
    <row r="55" spans="1:9">
      <c r="A55" s="767">
        <f t="shared" si="4"/>
        <v>35</v>
      </c>
      <c r="B55" s="778" t="s">
        <v>579</v>
      </c>
      <c r="C55" s="929">
        <v>0</v>
      </c>
      <c r="D55" s="928">
        <v>0</v>
      </c>
      <c r="E55" s="772">
        <v>131908695.83543751</v>
      </c>
      <c r="F55" s="1087">
        <v>23272870.818797134</v>
      </c>
      <c r="G55" s="1075"/>
      <c r="H55" s="1077"/>
    </row>
    <row r="56" spans="1:9">
      <c r="A56" s="767">
        <f t="shared" si="4"/>
        <v>36</v>
      </c>
      <c r="B56" s="778" t="s">
        <v>580</v>
      </c>
      <c r="C56" s="929">
        <v>0</v>
      </c>
      <c r="D56" s="928">
        <v>0</v>
      </c>
      <c r="E56" s="772">
        <v>131908695.83543751</v>
      </c>
      <c r="F56" s="1087">
        <v>23542303.669098597</v>
      </c>
      <c r="G56" s="1075"/>
      <c r="H56" s="1077"/>
    </row>
    <row r="57" spans="1:9">
      <c r="A57" s="767">
        <f t="shared" si="4"/>
        <v>37</v>
      </c>
      <c r="B57" s="778" t="s">
        <v>714</v>
      </c>
      <c r="C57" s="929">
        <v>0</v>
      </c>
      <c r="D57" s="928">
        <v>0</v>
      </c>
      <c r="E57" s="772">
        <v>131908695.83543751</v>
      </c>
      <c r="F57" s="1087">
        <v>23811736.51940006</v>
      </c>
      <c r="G57" s="1075"/>
      <c r="H57" s="1077"/>
    </row>
    <row r="58" spans="1:9">
      <c r="A58" s="767">
        <f t="shared" si="4"/>
        <v>38</v>
      </c>
      <c r="B58" s="778" t="s">
        <v>582</v>
      </c>
      <c r="C58" s="929">
        <v>0</v>
      </c>
      <c r="D58" s="928">
        <v>0</v>
      </c>
      <c r="E58" s="772">
        <v>131908695.83543751</v>
      </c>
      <c r="F58" s="1087">
        <v>24081169.369701527</v>
      </c>
      <c r="G58" s="1075"/>
      <c r="H58" s="1077"/>
    </row>
    <row r="59" spans="1:9">
      <c r="A59" s="767">
        <f t="shared" si="4"/>
        <v>39</v>
      </c>
      <c r="B59" s="778" t="s">
        <v>583</v>
      </c>
      <c r="C59" s="929">
        <v>0</v>
      </c>
      <c r="D59" s="928">
        <v>0</v>
      </c>
      <c r="E59" s="772">
        <v>131908695.83543751</v>
      </c>
      <c r="F59" s="1087">
        <v>24350602.220002994</v>
      </c>
      <c r="G59" s="1075"/>
      <c r="H59" s="1077"/>
    </row>
    <row r="60" spans="1:9">
      <c r="A60" s="767">
        <f t="shared" si="4"/>
        <v>40</v>
      </c>
      <c r="B60" s="778" t="s">
        <v>584</v>
      </c>
      <c r="C60" s="929">
        <v>0</v>
      </c>
      <c r="D60" s="928">
        <v>0</v>
      </c>
      <c r="E60" s="772">
        <v>131908695.83543751</v>
      </c>
      <c r="F60" s="1087">
        <v>24620035.070304461</v>
      </c>
      <c r="G60" s="1075"/>
      <c r="H60" s="1077"/>
    </row>
    <row r="61" spans="1:9">
      <c r="A61" s="774">
        <f t="shared" si="4"/>
        <v>41</v>
      </c>
      <c r="B61" s="794" t="s">
        <v>715</v>
      </c>
      <c r="C61" s="795">
        <v>0</v>
      </c>
      <c r="D61" s="772">
        <v>0</v>
      </c>
      <c r="E61" s="772">
        <v>131908695.83543751</v>
      </c>
      <c r="F61" s="1087">
        <v>24889467.920605928</v>
      </c>
      <c r="G61" s="1075"/>
      <c r="H61" s="1078"/>
    </row>
    <row r="62" spans="1:9" ht="13.5" thickBot="1">
      <c r="A62" s="796">
        <f t="shared" si="4"/>
        <v>42</v>
      </c>
      <c r="B62" s="782" t="s">
        <v>716</v>
      </c>
      <c r="C62" s="777">
        <f>SUM(C49:C61)/13</f>
        <v>0</v>
      </c>
      <c r="D62" s="777">
        <f>SUM(D49:D61)/13</f>
        <v>0</v>
      </c>
      <c r="E62" s="777">
        <f>SUM(E49:E61)/13</f>
        <v>131908695.83543752</v>
      </c>
      <c r="F62" s="777">
        <f>SUM(F49:F61)/13</f>
        <v>23272870.81879713</v>
      </c>
      <c r="G62" s="1079"/>
      <c r="H62" s="1080"/>
    </row>
    <row r="63" spans="1:9" ht="13.5" thickTop="1">
      <c r="A63" s="47"/>
      <c r="B63" s="778"/>
      <c r="I63" s="780"/>
    </row>
    <row r="64" spans="1:9">
      <c r="A64" s="47">
        <v>43</v>
      </c>
      <c r="B64" s="1138" t="s">
        <v>909</v>
      </c>
      <c r="C64" s="495">
        <f>+C42-D62-F62</f>
        <v>686171821.13512814</v>
      </c>
      <c r="I64" s="780"/>
    </row>
    <row r="65" spans="1:6" customFormat="1">
      <c r="B65" s="1138"/>
    </row>
    <row r="66" spans="1:6" customFormat="1"/>
    <row r="67" spans="1:6" customFormat="1" ht="25.5">
      <c r="A67" s="799" t="s">
        <v>330</v>
      </c>
      <c r="B67" s="286"/>
      <c r="C67" s="800" t="s">
        <v>328</v>
      </c>
      <c r="D67" s="801" t="str">
        <f>"Balance @ December 31, "&amp;TCOS!L4&amp;""</f>
        <v>Balance @ December 31, 2026</v>
      </c>
      <c r="E67" s="802" t="str">
        <f>"Balance @ December 31, "&amp;TCOS!L4-1&amp;""</f>
        <v>Balance @ December 31, 2025</v>
      </c>
      <c r="F67" s="802" t="str">
        <f>"Average Balance for "&amp;TCOS!L4&amp;""</f>
        <v>Average Balance for 2026</v>
      </c>
    </row>
    <row r="68" spans="1:6" customFormat="1">
      <c r="A68" s="803"/>
      <c r="B68" s="762" t="s">
        <v>708</v>
      </c>
      <c r="C68" s="762" t="s">
        <v>722</v>
      </c>
      <c r="D68" s="762" t="s">
        <v>723</v>
      </c>
      <c r="E68" s="762" t="s">
        <v>709</v>
      </c>
      <c r="F68" s="762" t="s">
        <v>710</v>
      </c>
    </row>
    <row r="69" spans="1:6" customFormat="1">
      <c r="A69" s="286">
        <f>+A64+1</f>
        <v>44</v>
      </c>
      <c r="B69" s="803" t="s">
        <v>330</v>
      </c>
      <c r="C69" s="290" t="s">
        <v>177</v>
      </c>
      <c r="D69" s="295">
        <v>0</v>
      </c>
      <c r="E69" s="295">
        <v>0</v>
      </c>
      <c r="F69" s="804">
        <f>IF(E69="",0,AVERAGE(D69:E69))</f>
        <v>0</v>
      </c>
    </row>
    <row r="70" spans="1:6" customFormat="1">
      <c r="A70" s="289"/>
      <c r="B70" s="285"/>
      <c r="C70" s="285"/>
      <c r="F70" s="805"/>
    </row>
    <row r="71" spans="1:6" customFormat="1">
      <c r="A71" s="286">
        <f>+A69+1</f>
        <v>45</v>
      </c>
      <c r="B71" s="803" t="s">
        <v>773</v>
      </c>
      <c r="C71" s="806" t="s">
        <v>334</v>
      </c>
      <c r="D71" s="295">
        <v>0</v>
      </c>
      <c r="E71" s="295">
        <v>0</v>
      </c>
      <c r="F71" s="804">
        <f>IF(E71="",0,AVERAGE(D71:E71))</f>
        <v>0</v>
      </c>
    </row>
    <row r="72" spans="1:6" customFormat="1">
      <c r="A72" s="3"/>
      <c r="B72" s="3"/>
      <c r="C72" s="3"/>
      <c r="D72" s="3"/>
    </row>
    <row r="73" spans="1:6" customFormat="1">
      <c r="A73" s="803" t="s">
        <v>21</v>
      </c>
      <c r="B73" s="3"/>
      <c r="C73" s="3"/>
      <c r="D73" s="3"/>
    </row>
    <row r="74" spans="1:6" customFormat="1">
      <c r="A74" s="285"/>
      <c r="B74" s="285" t="s">
        <v>163</v>
      </c>
      <c r="C74" s="285"/>
      <c r="D74" s="285"/>
      <c r="E74" s="285"/>
      <c r="F74" s="285"/>
    </row>
    <row r="75" spans="1:6" customFormat="1">
      <c r="A75" s="286">
        <f>+A71+1</f>
        <v>46</v>
      </c>
      <c r="B75" s="807"/>
      <c r="C75" s="807"/>
      <c r="D75" s="295"/>
      <c r="E75" s="295"/>
      <c r="F75" s="804">
        <f>IF(E75="",0,AVERAGE(D75:E75))</f>
        <v>0</v>
      </c>
    </row>
    <row r="76" spans="1:6" customFormat="1">
      <c r="A76" s="286">
        <f>+A75+1</f>
        <v>47</v>
      </c>
      <c r="B76" s="807"/>
      <c r="C76" s="807"/>
      <c r="D76" s="295"/>
      <c r="E76" s="295"/>
      <c r="F76" s="804">
        <f>IF(E76="",0,AVERAGE(D76:E76))</f>
        <v>0</v>
      </c>
    </row>
    <row r="77" spans="1:6" customFormat="1">
      <c r="A77" s="286">
        <f>+A76+1</f>
        <v>48</v>
      </c>
      <c r="B77" s="807"/>
      <c r="C77" s="807"/>
      <c r="D77" s="295"/>
      <c r="E77" s="295"/>
      <c r="F77" s="804">
        <f>IF(E77="",0,AVERAGE(D77:E77))</f>
        <v>0</v>
      </c>
    </row>
    <row r="78" spans="1:6" customFormat="1">
      <c r="A78" s="286">
        <f>+A77+1</f>
        <v>49</v>
      </c>
      <c r="B78" s="807"/>
      <c r="C78" s="807"/>
      <c r="D78" s="295"/>
      <c r="E78" s="295"/>
      <c r="F78" s="804">
        <f>IF(E78="",0,AVERAGE(D78:E78))</f>
        <v>0</v>
      </c>
    </row>
    <row r="79" spans="1:6" customFormat="1">
      <c r="A79" s="286">
        <f>+A78+1</f>
        <v>50</v>
      </c>
      <c r="B79" s="807"/>
      <c r="C79" s="807"/>
      <c r="D79" s="808"/>
      <c r="E79" s="808"/>
      <c r="F79" s="809">
        <f>IF(E79="",0,AVERAGE(D79:E79))</f>
        <v>0</v>
      </c>
    </row>
    <row r="80" spans="1:6" customFormat="1" ht="18" customHeight="1">
      <c r="A80" s="286">
        <f>+A79+1</f>
        <v>51</v>
      </c>
      <c r="B80" s="285" t="s">
        <v>724</v>
      </c>
      <c r="C80" s="285"/>
      <c r="D80" s="810">
        <f>SUM(D75:D79)</f>
        <v>0</v>
      </c>
      <c r="E80" s="810">
        <f>SUM(E75:E79)</f>
        <v>0</v>
      </c>
      <c r="F80" s="810">
        <f>SUM(F75:F79)</f>
        <v>0</v>
      </c>
    </row>
    <row r="81" spans="1:6" customFormat="1" ht="17.25" customHeight="1">
      <c r="A81" s="286"/>
      <c r="B81" s="285"/>
      <c r="C81" s="285"/>
      <c r="D81" s="810"/>
      <c r="E81" s="810"/>
      <c r="F81" s="810"/>
    </row>
    <row r="82" spans="1:6" customFormat="1" ht="18.75" customHeight="1">
      <c r="A82" s="803" t="s">
        <v>725</v>
      </c>
      <c r="B82" s="811"/>
      <c r="C82" s="811"/>
      <c r="D82" s="811"/>
      <c r="E82" s="285"/>
      <c r="F82" s="285"/>
    </row>
    <row r="83" spans="1:6" customFormat="1" ht="31.5" customHeight="1">
      <c r="A83" s="286"/>
      <c r="B83" s="14"/>
      <c r="C83" s="340"/>
      <c r="D83" s="4"/>
      <c r="E83" s="285"/>
      <c r="F83" s="285"/>
    </row>
    <row r="84" spans="1:6" customFormat="1" ht="21.75" customHeight="1">
      <c r="A84" s="286">
        <f>+A80+1</f>
        <v>52</v>
      </c>
      <c r="B84" s="287" t="s">
        <v>465</v>
      </c>
      <c r="C84" s="287" t="s">
        <v>110</v>
      </c>
      <c r="D84" s="3"/>
      <c r="F84" s="287"/>
    </row>
    <row r="85" spans="1:6" customFormat="1" ht="14.25">
      <c r="A85" s="47" t="s">
        <v>726</v>
      </c>
      <c r="B85" s="812"/>
      <c r="C85" s="813"/>
      <c r="D85" s="295"/>
      <c r="E85" s="295"/>
      <c r="F85" s="814">
        <f>IF(E85="",0,AVERAGE(D85:E85))</f>
        <v>0</v>
      </c>
    </row>
    <row r="86" spans="1:6" customFormat="1" ht="14.25">
      <c r="A86" s="47" t="s">
        <v>727</v>
      </c>
      <c r="B86" s="295"/>
      <c r="C86" s="813"/>
      <c r="D86" s="295"/>
      <c r="E86" s="295"/>
      <c r="F86" s="815">
        <f>IF(E86="",0,AVERAGE(D86:E86))</f>
        <v>0</v>
      </c>
    </row>
    <row r="87" spans="1:6" customFormat="1" ht="18" customHeight="1">
      <c r="A87" s="1">
        <f>A84+2</f>
        <v>54</v>
      </c>
      <c r="C87" s="3" t="s">
        <v>418</v>
      </c>
      <c r="D87" s="495">
        <f>SUM(D85:D86)</f>
        <v>0</v>
      </c>
      <c r="E87" s="495">
        <f>SUM(E85:E86)</f>
        <v>0</v>
      </c>
      <c r="F87" s="495">
        <f>SUM(F85:F86)</f>
        <v>0</v>
      </c>
    </row>
    <row r="88" spans="1:6" customFormat="1">
      <c r="A88" s="286"/>
      <c r="B88" s="285"/>
      <c r="C88" s="285"/>
      <c r="D88" s="285"/>
    </row>
    <row r="89" spans="1:6">
      <c r="A89" s="293" t="s">
        <v>728</v>
      </c>
      <c r="B89" s="285"/>
      <c r="C89" s="285"/>
      <c r="D89" s="285"/>
    </row>
    <row r="90" spans="1:6">
      <c r="A90" s="293" t="s">
        <v>729</v>
      </c>
      <c r="B90" s="285"/>
      <c r="C90" s="285"/>
      <c r="D90" s="285"/>
    </row>
  </sheetData>
  <mergeCells count="7">
    <mergeCell ref="B64:B65"/>
    <mergeCell ref="A1:G1"/>
    <mergeCell ref="A2:G2"/>
    <mergeCell ref="A3:G3"/>
    <mergeCell ref="A4:G4"/>
    <mergeCell ref="C6:I6"/>
    <mergeCell ref="C25:I25"/>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34"/>
  <sheetViews>
    <sheetView zoomScale="81" zoomScaleNormal="81" workbookViewId="0">
      <selection activeCell="E14" sqref="E14"/>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12" t="s">
        <v>414</v>
      </c>
    </row>
    <row r="2" spans="1:21" ht="15.75">
      <c r="A2" s="712" t="s">
        <v>414</v>
      </c>
    </row>
    <row r="3" spans="1:21" ht="18">
      <c r="A3" s="1184" t="str">
        <f>TCOS!$F$5</f>
        <v>AEPTCo subsidiaries in PJM</v>
      </c>
      <c r="B3" s="1184" t="str">
        <f>TCOS!$F$5</f>
        <v>AEPTCo subsidiaries in PJM</v>
      </c>
      <c r="C3" s="1184" t="str">
        <f>TCOS!$F$5</f>
        <v>AEPTCo subsidiaries in PJM</v>
      </c>
      <c r="D3" s="1184" t="str">
        <f>TCOS!$F$5</f>
        <v>AEPTCo subsidiaries in PJM</v>
      </c>
      <c r="E3" s="1184" t="str">
        <f>TCOS!$F$5</f>
        <v>AEPTCo subsidiaries in PJM</v>
      </c>
      <c r="F3" s="1184" t="str">
        <f>TCOS!$F$5</f>
        <v>AEPTCo subsidiaries in PJM</v>
      </c>
      <c r="G3" s="1184" t="str">
        <f>TCOS!$F$5</f>
        <v>AEPTCo subsidiaries in PJM</v>
      </c>
      <c r="H3" s="1184" t="str">
        <f>TCOS!$F$5</f>
        <v>AEPTCo subsidiaries in PJM</v>
      </c>
      <c r="I3" s="1184" t="str">
        <f>TCOS!$F$5</f>
        <v>AEPTCo subsidiaries in PJM</v>
      </c>
      <c r="J3" s="1184" t="str">
        <f>TCOS!$F$5</f>
        <v>AEPTCo subsidiaries in PJM</v>
      </c>
      <c r="K3" s="1184" t="str">
        <f>TCOS!$F$5</f>
        <v>AEPTCo subsidiaries in PJM</v>
      </c>
      <c r="L3" s="1184" t="str">
        <f>TCOS!$F$5</f>
        <v>AEPTCo subsidiaries in PJM</v>
      </c>
      <c r="M3" s="1184" t="str">
        <f>TCOS!$F$5</f>
        <v>AEPTCo subsidiaries in PJM</v>
      </c>
      <c r="N3" s="1184" t="str">
        <f>TCOS!$F$5</f>
        <v>AEPTCo subsidiaries in PJM</v>
      </c>
      <c r="O3" s="1184" t="str">
        <f>TCOS!$F$5</f>
        <v>AEPTCo subsidiaries in PJM</v>
      </c>
    </row>
    <row r="4" spans="1:21" ht="18">
      <c r="A4" s="1183" t="str">
        <f>"Cost of Service Formula Rate Using Actual/Projected FF1 Balances"</f>
        <v>Cost of Service Formula Rate Using Actual/Projected FF1 Balances</v>
      </c>
      <c r="B4" s="1183"/>
      <c r="C4" s="1183"/>
      <c r="D4" s="1183"/>
      <c r="E4" s="1183"/>
      <c r="F4" s="1183"/>
      <c r="G4" s="1183"/>
      <c r="H4" s="1183"/>
      <c r="I4" s="1183"/>
      <c r="J4" s="1183"/>
      <c r="K4" s="1183"/>
      <c r="L4" s="1183"/>
      <c r="M4" s="1183"/>
      <c r="N4" s="1183"/>
      <c r="O4" s="1183"/>
    </row>
    <row r="5" spans="1:21" ht="18">
      <c r="A5" s="1183" t="s">
        <v>24</v>
      </c>
      <c r="B5" s="1183"/>
      <c r="C5" s="1183"/>
      <c r="D5" s="1183"/>
      <c r="E5" s="1183"/>
      <c r="F5" s="1183"/>
      <c r="G5" s="1183"/>
      <c r="H5" s="1183"/>
      <c r="I5" s="1183"/>
      <c r="J5" s="1183"/>
      <c r="K5" s="1183"/>
      <c r="L5" s="1183"/>
      <c r="M5" s="1183"/>
      <c r="N5" s="1183"/>
      <c r="O5" s="1183"/>
    </row>
    <row r="6" spans="1:21" ht="18">
      <c r="A6" s="1176" t="str">
        <f>+TCOS!F9</f>
        <v>AEP Indiana Michigan Transmission Company</v>
      </c>
      <c r="B6" s="1176"/>
      <c r="C6" s="1176"/>
      <c r="D6" s="1176"/>
      <c r="E6" s="1176"/>
      <c r="F6" s="1176"/>
      <c r="G6" s="1176"/>
      <c r="H6" s="1176"/>
      <c r="I6" s="1176"/>
      <c r="J6" s="1176"/>
      <c r="K6" s="1176"/>
      <c r="L6" s="1176"/>
      <c r="M6" s="1176"/>
      <c r="N6" s="1176"/>
      <c r="O6" s="1176"/>
    </row>
    <row r="7" spans="1:21" ht="12.75" customHeight="1">
      <c r="A7" s="67"/>
      <c r="B7" s="67"/>
      <c r="C7" s="67"/>
      <c r="D7" s="67"/>
      <c r="E7" s="67"/>
      <c r="F7" s="67"/>
      <c r="G7" s="67"/>
      <c r="H7" s="67"/>
      <c r="I7" s="67"/>
      <c r="J7" s="67"/>
      <c r="K7" s="67"/>
      <c r="L7" s="67"/>
    </row>
    <row r="8" spans="1:21" ht="12.75" customHeight="1">
      <c r="A8" s="1209" t="s">
        <v>16</v>
      </c>
      <c r="B8" s="1209"/>
      <c r="C8" s="1209"/>
      <c r="D8" s="1209"/>
      <c r="E8" s="1209"/>
      <c r="F8" s="1209"/>
      <c r="G8" s="1209"/>
      <c r="H8" s="1209"/>
      <c r="I8" s="1209"/>
      <c r="J8" s="1209"/>
      <c r="K8" s="1209"/>
      <c r="L8" s="1209"/>
      <c r="M8" s="1209"/>
      <c r="N8" s="1209"/>
      <c r="O8" s="1209"/>
    </row>
    <row r="9" spans="1:21" ht="12.75" customHeight="1">
      <c r="A9" s="1209"/>
      <c r="B9" s="1209"/>
      <c r="C9" s="1209"/>
      <c r="D9" s="1209"/>
      <c r="E9" s="1209"/>
      <c r="F9" s="1209"/>
      <c r="G9" s="1209"/>
      <c r="H9" s="1209"/>
      <c r="I9" s="1209"/>
      <c r="J9" s="1209"/>
      <c r="K9" s="1209"/>
      <c r="L9" s="1209"/>
      <c r="M9" s="1209"/>
      <c r="N9" s="1209"/>
      <c r="O9" s="1209"/>
    </row>
    <row r="10" spans="1:21">
      <c r="A10" s="1209"/>
      <c r="B10" s="1209"/>
      <c r="C10" s="1209"/>
      <c r="D10" s="1209"/>
      <c r="E10" s="1209"/>
      <c r="F10" s="1209"/>
      <c r="G10" s="1209"/>
      <c r="H10" s="1209"/>
      <c r="I10" s="1209"/>
      <c r="J10" s="1209"/>
      <c r="K10" s="1209"/>
      <c r="L10" s="1209"/>
      <c r="M10" s="1209"/>
      <c r="N10" s="1209"/>
      <c r="O10" s="1209"/>
    </row>
    <row r="11" spans="1:21">
      <c r="A11" s="1209"/>
      <c r="B11" s="1209"/>
      <c r="C11" s="1209"/>
      <c r="D11" s="1209"/>
      <c r="E11" s="1209"/>
      <c r="F11" s="1209"/>
      <c r="G11" s="1209"/>
      <c r="H11" s="1209"/>
      <c r="I11" s="1209"/>
      <c r="J11" s="1209"/>
      <c r="K11" s="1209"/>
      <c r="L11" s="1209"/>
      <c r="M11" s="1209"/>
      <c r="N11" s="1209"/>
      <c r="O11" s="1209"/>
    </row>
    <row r="12" spans="1:21">
      <c r="B12" s="1" t="s">
        <v>460</v>
      </c>
      <c r="C12" s="1"/>
      <c r="D12" s="1122" t="s">
        <v>461</v>
      </c>
      <c r="E12" s="1122"/>
      <c r="F12" s="1122"/>
      <c r="G12" s="1122"/>
      <c r="H12" s="1"/>
      <c r="I12" s="1" t="s">
        <v>331</v>
      </c>
      <c r="J12" s="1"/>
      <c r="K12" s="1" t="s">
        <v>463</v>
      </c>
      <c r="L12" s="1"/>
      <c r="M12" s="1" t="s">
        <v>383</v>
      </c>
      <c r="N12" s="1"/>
      <c r="O12" s="1" t="s">
        <v>384</v>
      </c>
      <c r="P12" s="1"/>
      <c r="Q12" s="1" t="s">
        <v>357</v>
      </c>
      <c r="R12" s="1"/>
      <c r="S12" s="1" t="s">
        <v>390</v>
      </c>
      <c r="U12" s="47" t="s">
        <v>296</v>
      </c>
    </row>
    <row r="13" spans="1:21">
      <c r="I13" s="1208" t="s">
        <v>355</v>
      </c>
      <c r="Q13" s="1210" t="s">
        <v>356</v>
      </c>
      <c r="S13" s="1208" t="s">
        <v>358</v>
      </c>
      <c r="U13" s="109" t="s">
        <v>273</v>
      </c>
    </row>
    <row r="14" spans="1:21">
      <c r="A14" s="70" t="s">
        <v>354</v>
      </c>
      <c r="B14" s="70" t="s">
        <v>350</v>
      </c>
      <c r="C14" s="70"/>
      <c r="D14" s="86" t="s">
        <v>351</v>
      </c>
      <c r="E14" s="70"/>
      <c r="F14" s="70"/>
      <c r="G14" s="70"/>
      <c r="H14" s="70"/>
      <c r="I14" s="1188"/>
      <c r="J14" s="70"/>
      <c r="K14" s="70" t="s">
        <v>352</v>
      </c>
      <c r="L14" s="70"/>
      <c r="M14" s="70" t="s">
        <v>353</v>
      </c>
      <c r="N14" s="70"/>
      <c r="O14" s="70" t="s">
        <v>290</v>
      </c>
      <c r="Q14" s="1210"/>
      <c r="S14" s="1208"/>
      <c r="U14" s="109" t="s">
        <v>110</v>
      </c>
    </row>
    <row r="15" spans="1:21">
      <c r="A15" s="70"/>
      <c r="B15" s="70"/>
      <c r="C15" s="70"/>
      <c r="D15" s="86"/>
      <c r="E15" s="70"/>
      <c r="F15" s="70"/>
      <c r="G15" s="70"/>
      <c r="H15" s="70"/>
      <c r="I15" t="s">
        <v>288</v>
      </c>
      <c r="J15" s="70"/>
      <c r="K15" s="70"/>
      <c r="L15" s="70"/>
      <c r="M15" s="70"/>
      <c r="N15" s="70"/>
      <c r="O15" s="70"/>
      <c r="Q15" s="94"/>
      <c r="S15" s="70" t="s">
        <v>290</v>
      </c>
    </row>
    <row r="16" spans="1:21">
      <c r="I16" t="s">
        <v>289</v>
      </c>
    </row>
    <row r="17" spans="1:21">
      <c r="A17" s="1">
        <v>1</v>
      </c>
      <c r="B17" s="597"/>
      <c r="D17" s="1211"/>
      <c r="E17" s="1211"/>
      <c r="F17" s="1211"/>
      <c r="G17" s="1211"/>
      <c r="I17" s="598"/>
      <c r="K17" s="596"/>
      <c r="L17" s="62"/>
      <c r="M17" s="596"/>
      <c r="O17" s="74">
        <f>+K17-M17</f>
        <v>0</v>
      </c>
      <c r="Q17" s="88">
        <f>IF(I17="G",TCOS!L235,IF(I17="T",1,0))</f>
        <v>0</v>
      </c>
      <c r="S17" s="74">
        <f>ROUND(O17*Q17,0)</f>
        <v>0</v>
      </c>
      <c r="U17" s="599"/>
    </row>
    <row r="18" spans="1:21">
      <c r="A18" s="1"/>
      <c r="D18" s="1211"/>
      <c r="E18" s="1211"/>
      <c r="F18" s="1211"/>
      <c r="G18" s="1211"/>
      <c r="K18" s="62"/>
      <c r="L18" s="62"/>
      <c r="M18" s="62"/>
      <c r="O18" s="62"/>
      <c r="Q18" s="88"/>
      <c r="S18" s="62"/>
    </row>
    <row r="19" spans="1:21">
      <c r="A19" s="1"/>
      <c r="D19" s="1211"/>
      <c r="E19" s="1211"/>
      <c r="F19" s="1211"/>
      <c r="G19" s="1211"/>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597"/>
      <c r="D22" s="1211"/>
      <c r="E22" s="1211"/>
      <c r="F22" s="1211"/>
      <c r="G22" s="1211"/>
      <c r="I22" s="598"/>
      <c r="K22" s="596"/>
      <c r="L22" s="62"/>
      <c r="M22" s="596"/>
      <c r="O22" s="74">
        <f>+K22-M22</f>
        <v>0</v>
      </c>
      <c r="Q22" s="88">
        <f>IF(I22="G",TCOS!L235,IF(I22="T",1,0))</f>
        <v>0</v>
      </c>
      <c r="S22" s="74">
        <f>ROUND(O22*Q22,0)</f>
        <v>0</v>
      </c>
      <c r="U22" s="599"/>
    </row>
    <row r="23" spans="1:21">
      <c r="A23" s="1"/>
      <c r="D23" s="1211"/>
      <c r="E23" s="1211"/>
      <c r="F23" s="1211"/>
      <c r="G23" s="1211"/>
      <c r="K23" s="62"/>
      <c r="L23" s="62"/>
      <c r="M23" s="62"/>
      <c r="O23" s="62"/>
      <c r="Q23" s="88"/>
      <c r="S23" s="62"/>
    </row>
    <row r="24" spans="1:21">
      <c r="A24" s="1"/>
      <c r="D24" s="1211"/>
      <c r="E24" s="1211"/>
      <c r="F24" s="1211"/>
      <c r="G24" s="1211"/>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597"/>
      <c r="D27" s="1211"/>
      <c r="E27" s="1211"/>
      <c r="F27" s="1211"/>
      <c r="G27" s="1211"/>
      <c r="I27" s="598"/>
      <c r="K27" s="596"/>
      <c r="L27" s="62"/>
      <c r="M27" s="596"/>
      <c r="O27" s="74">
        <f>+K27-M27</f>
        <v>0</v>
      </c>
      <c r="Q27" s="88">
        <f>IF(I27="G",TCOS!L235,IF(I27="T",1,0))</f>
        <v>0</v>
      </c>
      <c r="S27" s="74">
        <f>ROUND(O27*Q27,0)</f>
        <v>0</v>
      </c>
      <c r="U27" s="599"/>
    </row>
    <row r="28" spans="1:21">
      <c r="A28" s="1"/>
      <c r="D28" s="1211"/>
      <c r="E28" s="1211"/>
      <c r="F28" s="1211"/>
      <c r="G28" s="1211"/>
      <c r="K28" s="62"/>
      <c r="L28" s="62"/>
      <c r="M28" s="62"/>
      <c r="O28" s="62"/>
      <c r="Q28" s="88"/>
      <c r="S28" s="62"/>
    </row>
    <row r="29" spans="1:21">
      <c r="A29" s="1"/>
      <c r="D29" s="1211"/>
      <c r="E29" s="1211"/>
      <c r="F29" s="1211"/>
      <c r="G29" s="1211"/>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"&amp;TCOS!N3&amp;""</f>
        <v xml:space="preserve">Net (Gain) or Loss for  </v>
      </c>
      <c r="O33" s="92">
        <f>SUM(O17:O27)</f>
        <v>0</v>
      </c>
      <c r="Q33" s="93"/>
      <c r="S33" s="92">
        <f>SUM(S17:S27)</f>
        <v>0</v>
      </c>
    </row>
    <row r="34" spans="1:19" ht="13.5" thickTop="1">
      <c r="A34" s="1"/>
      <c r="O34" s="62"/>
      <c r="Q34" s="93"/>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89"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14999847407452621"/>
  </sheetPr>
  <dimension ref="A1:F37"/>
  <sheetViews>
    <sheetView view="pageBreakPreview" topLeftCell="A12" zoomScale="90" zoomScaleNormal="80" zoomScaleSheetLayoutView="90" workbookViewId="0">
      <selection activeCell="E14" sqref="E14"/>
    </sheetView>
  </sheetViews>
  <sheetFormatPr defaultColWidth="11.42578125" defaultRowHeight="12.75"/>
  <cols>
    <col min="1" max="1" width="37.85546875" style="906" customWidth="1"/>
    <col min="2" max="2" width="25.42578125" style="906" customWidth="1"/>
    <col min="3" max="3" width="53.42578125" style="906" customWidth="1"/>
    <col min="4" max="4" width="18.42578125" style="906" customWidth="1"/>
    <col min="5" max="5" width="11.42578125" style="906" customWidth="1"/>
    <col min="6" max="6" width="13.7109375" style="906" bestFit="1" customWidth="1"/>
    <col min="7" max="16384" width="11.42578125" style="906"/>
  </cols>
  <sheetData>
    <row r="1" spans="1:6" ht="15.75">
      <c r="A1" s="905" t="s">
        <v>414</v>
      </c>
    </row>
    <row r="2" spans="1:6" ht="15.75">
      <c r="A2" s="905" t="s">
        <v>414</v>
      </c>
    </row>
    <row r="3" spans="1:6" ht="15.75">
      <c r="A3" s="1213" t="str">
        <f>TCOS!F5</f>
        <v>AEPTCo subsidiaries in PJM</v>
      </c>
      <c r="B3" s="1213" t="s">
        <v>329</v>
      </c>
      <c r="C3" s="1213" t="s">
        <v>329</v>
      </c>
      <c r="D3" s="1213" t="s">
        <v>329</v>
      </c>
    </row>
    <row r="4" spans="1:6" ht="15.75">
      <c r="A4" s="1213" t="str">
        <f>"Cost of Service Formula Rate Using Actual/Projected FF1 Balances"</f>
        <v>Cost of Service Formula Rate Using Actual/Projected FF1 Balances</v>
      </c>
      <c r="B4" s="1213"/>
      <c r="C4" s="1213"/>
      <c r="D4" s="1213"/>
    </row>
    <row r="5" spans="1:6" ht="15.75">
      <c r="A5" s="1213" t="s">
        <v>774</v>
      </c>
      <c r="B5" s="1213"/>
      <c r="C5" s="1213"/>
      <c r="D5" s="1213"/>
    </row>
    <row r="6" spans="1:6" ht="15.75">
      <c r="A6" s="1213" t="s">
        <v>775</v>
      </c>
      <c r="B6" s="1213"/>
      <c r="C6" s="1213"/>
      <c r="D6" s="1213"/>
    </row>
    <row r="7" spans="1:6" ht="15.75">
      <c r="A7" s="1214" t="str">
        <f>TCOS!F9</f>
        <v>AEP Indiana Michigan Transmission Company</v>
      </c>
      <c r="B7" s="1214"/>
      <c r="C7" s="1214"/>
      <c r="D7" s="1214"/>
    </row>
    <row r="8" spans="1:6" ht="15.75">
      <c r="A8" s="908"/>
      <c r="B8" s="909"/>
      <c r="C8" s="909"/>
      <c r="D8" s="909"/>
    </row>
    <row r="9" spans="1:6" ht="15.75">
      <c r="A9" s="910"/>
      <c r="B9" s="911"/>
      <c r="C9" s="911"/>
      <c r="D9" s="911"/>
    </row>
    <row r="10" spans="1:6" ht="15.75">
      <c r="A10" s="912"/>
      <c r="B10" s="912"/>
      <c r="C10" s="912"/>
      <c r="D10" s="912"/>
    </row>
    <row r="11" spans="1:6" ht="15.75">
      <c r="A11" s="911" t="s">
        <v>776</v>
      </c>
      <c r="B11" s="911" t="s">
        <v>460</v>
      </c>
      <c r="C11" s="913"/>
      <c r="D11" s="911" t="s">
        <v>461</v>
      </c>
    </row>
    <row r="12" spans="1:6" ht="15.75">
      <c r="A12" s="907">
        <f>1</f>
        <v>1</v>
      </c>
      <c r="B12" s="914" t="s">
        <v>777</v>
      </c>
      <c r="C12" s="913"/>
      <c r="D12" s="907"/>
    </row>
    <row r="13" spans="1:6" ht="15.75">
      <c r="A13" s="907"/>
      <c r="B13" s="914"/>
      <c r="C13" s="913"/>
      <c r="D13" s="907"/>
    </row>
    <row r="14" spans="1:6" ht="15.75">
      <c r="A14" s="907"/>
      <c r="B14" s="913"/>
      <c r="C14" s="913"/>
      <c r="D14" s="913"/>
    </row>
    <row r="15" spans="1:6" ht="15.75">
      <c r="A15" s="907">
        <f>A12+1</f>
        <v>2</v>
      </c>
      <c r="B15" s="915" t="s">
        <v>778</v>
      </c>
      <c r="C15" s="916"/>
      <c r="D15" s="917"/>
    </row>
    <row r="16" spans="1:6" ht="15.75">
      <c r="A16" s="907">
        <f t="shared" ref="A16:A23" si="0">+A15+1</f>
        <v>3</v>
      </c>
      <c r="B16" s="918" t="s">
        <v>779</v>
      </c>
      <c r="C16" s="918"/>
      <c r="D16" s="1022">
        <v>-74896761</v>
      </c>
      <c r="F16" s="919"/>
    </row>
    <row r="17" spans="1:6" ht="15.75">
      <c r="A17" s="907">
        <f t="shared" si="0"/>
        <v>4</v>
      </c>
      <c r="B17" s="918" t="s">
        <v>780</v>
      </c>
      <c r="C17" s="918"/>
      <c r="D17" s="1023">
        <v>0</v>
      </c>
      <c r="F17" s="919"/>
    </row>
    <row r="18" spans="1:6" ht="15.75">
      <c r="A18" s="907">
        <f t="shared" si="0"/>
        <v>5</v>
      </c>
      <c r="B18" s="918" t="s">
        <v>781</v>
      </c>
      <c r="C18" s="918"/>
      <c r="D18" s="1023">
        <v>-74896761</v>
      </c>
    </row>
    <row r="19" spans="1:6" ht="15.75">
      <c r="A19" s="907">
        <f t="shared" si="0"/>
        <v>6</v>
      </c>
      <c r="B19" s="918" t="s">
        <v>782</v>
      </c>
      <c r="C19" s="918"/>
      <c r="D19" s="1022">
        <v>1652603269.1799927</v>
      </c>
    </row>
    <row r="20" spans="1:6" ht="15.75">
      <c r="A20" s="907">
        <f t="shared" si="0"/>
        <v>7</v>
      </c>
      <c r="B20" s="918" t="s">
        <v>783</v>
      </c>
      <c r="C20" s="918"/>
      <c r="D20" s="1024">
        <v>-4.5320472491357906E-2</v>
      </c>
    </row>
    <row r="21" spans="1:6" ht="15.75">
      <c r="A21" s="907">
        <f t="shared" si="0"/>
        <v>8</v>
      </c>
      <c r="B21" s="918" t="s">
        <v>784</v>
      </c>
      <c r="C21" s="918"/>
      <c r="D21" s="1025">
        <v>-7.8E-2</v>
      </c>
      <c r="E21" s="920"/>
    </row>
    <row r="22" spans="1:6" ht="15.75">
      <c r="A22" s="907">
        <f t="shared" si="0"/>
        <v>9</v>
      </c>
      <c r="B22" s="918" t="s">
        <v>785</v>
      </c>
      <c r="C22" s="918"/>
      <c r="D22" s="1026">
        <v>9432548.7173330374</v>
      </c>
    </row>
    <row r="23" spans="1:6" ht="15.75">
      <c r="A23" s="907">
        <f t="shared" si="0"/>
        <v>10</v>
      </c>
      <c r="B23" s="918" t="str">
        <f>"Allowable TransCo PBOP Expense for current year (Ln "&amp;A21&amp;" * Ln "&amp;A22&amp;")"</f>
        <v>Allowable TransCo PBOP Expense for current year (Ln 8 * Ln 9)</v>
      </c>
      <c r="C23" s="918"/>
      <c r="D23" s="1027">
        <v>-735738.79995197686</v>
      </c>
    </row>
    <row r="24" spans="1:6" ht="15.75">
      <c r="A24" s="907"/>
      <c r="B24" s="918"/>
      <c r="C24" s="918"/>
      <c r="D24" s="1027"/>
    </row>
    <row r="25" spans="1:6" ht="15.75">
      <c r="A25" s="907"/>
      <c r="B25" s="918"/>
      <c r="C25" s="918"/>
      <c r="D25" s="1027"/>
    </row>
    <row r="26" spans="1:6" ht="15.75">
      <c r="A26" s="907">
        <f>+A23+1</f>
        <v>11</v>
      </c>
      <c r="B26" s="921" t="s">
        <v>786</v>
      </c>
      <c r="C26" s="918"/>
      <c r="D26" s="1028">
        <v>0</v>
      </c>
    </row>
    <row r="27" spans="1:6" ht="15.75">
      <c r="A27" s="907">
        <f>+A26+1</f>
        <v>12</v>
      </c>
      <c r="B27" s="918" t="s">
        <v>787</v>
      </c>
      <c r="C27" s="918"/>
      <c r="D27" s="1028">
        <v>0</v>
      </c>
    </row>
    <row r="28" spans="1:6" ht="15.75">
      <c r="A28" s="907">
        <f>+A27+1</f>
        <v>13</v>
      </c>
      <c r="B28" s="918" t="s">
        <v>788</v>
      </c>
      <c r="C28" s="918"/>
      <c r="D28" s="1028">
        <v>0</v>
      </c>
    </row>
    <row r="29" spans="1:6" ht="16.5" thickBot="1">
      <c r="A29" s="922">
        <f>+A28+1</f>
        <v>14</v>
      </c>
      <c r="B29" s="923" t="s">
        <v>789</v>
      </c>
      <c r="C29" s="924"/>
      <c r="D29" s="1029">
        <v>-607656.43252150132</v>
      </c>
    </row>
    <row r="30" spans="1:6" ht="15.75">
      <c r="A30" s="907">
        <f>+A29+1</f>
        <v>15</v>
      </c>
      <c r="B30" s="913" t="s">
        <v>790</v>
      </c>
      <c r="C30" s="913" t="str">
        <f>"(Sum Lines "&amp;A26&amp;"-"&amp;A29&amp;")"</f>
        <v>(Sum Lines 11-14)</v>
      </c>
      <c r="D30" s="925">
        <f>SUM(D26:D29)</f>
        <v>-607656.43252150132</v>
      </c>
    </row>
    <row r="31" spans="1:6" ht="15.75">
      <c r="A31" s="907"/>
      <c r="B31" s="913"/>
      <c r="C31" s="913"/>
      <c r="D31" s="925"/>
    </row>
    <row r="32" spans="1:6" ht="15.75">
      <c r="A32" s="907"/>
      <c r="B32" s="913"/>
      <c r="C32" s="913"/>
      <c r="D32" s="925"/>
    </row>
    <row r="33" spans="1:4" ht="15.75">
      <c r="A33" s="907">
        <f>A30+1</f>
        <v>16</v>
      </c>
      <c r="B33" s="913" t="s">
        <v>791</v>
      </c>
      <c r="C33" s="913" t="str">
        <f>"Line "&amp;A23&amp;" less Line "&amp;A30&amp;""</f>
        <v>Line 10 less Line 15</v>
      </c>
      <c r="D33" s="926">
        <f>D23-D30</f>
        <v>-128082.36743047554</v>
      </c>
    </row>
    <row r="34" spans="1:4" ht="15.75">
      <c r="A34" s="907"/>
      <c r="B34" s="913"/>
      <c r="C34" s="913"/>
      <c r="D34" s="926"/>
    </row>
    <row r="35" spans="1:4" ht="15.75">
      <c r="A35" s="918" t="s">
        <v>792</v>
      </c>
    </row>
    <row r="37" spans="1:4" ht="387.75" customHeight="1">
      <c r="A37" s="1212" t="s">
        <v>793</v>
      </c>
      <c r="B37" s="1212"/>
      <c r="C37" s="1212"/>
      <c r="D37" s="1212"/>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G50"/>
  <sheetViews>
    <sheetView defaultGridColor="0" view="pageBreakPreview" colorId="22" zoomScale="60" zoomScaleNormal="70" workbookViewId="0">
      <selection activeCell="E14" sqref="E14"/>
    </sheetView>
  </sheetViews>
  <sheetFormatPr defaultColWidth="14.7109375" defaultRowHeight="15"/>
  <cols>
    <col min="1" max="1" width="5.7109375" style="998" customWidth="1"/>
    <col min="2" max="2" width="42.5703125" style="998" customWidth="1"/>
    <col min="3" max="4" width="18.28515625" style="998" bestFit="1" customWidth="1"/>
    <col min="5" max="5" width="18" style="998" customWidth="1"/>
    <col min="6" max="7" width="16.28515625" style="998" bestFit="1" customWidth="1"/>
    <col min="8" max="8" width="14.7109375" style="998" customWidth="1"/>
    <col min="9" max="16384" width="14.7109375" style="998"/>
  </cols>
  <sheetData>
    <row r="1" spans="1:7" ht="15.75">
      <c r="A1" s="712" t="s">
        <v>414</v>
      </c>
    </row>
    <row r="2" spans="1:7" ht="15.75">
      <c r="A2" s="712" t="s">
        <v>414</v>
      </c>
    </row>
    <row r="3" spans="1:7" ht="19.5">
      <c r="A3" s="998" t="s">
        <v>414</v>
      </c>
      <c r="B3" s="1217" t="s">
        <v>329</v>
      </c>
      <c r="C3" s="1217"/>
      <c r="D3" s="1217"/>
      <c r="E3" s="1217"/>
      <c r="F3" s="999"/>
      <c r="G3" s="999"/>
    </row>
    <row r="4" spans="1:7" ht="19.5">
      <c r="B4" s="1217" t="s">
        <v>224</v>
      </c>
      <c r="C4" s="1217"/>
      <c r="D4" s="1217"/>
      <c r="E4" s="1217"/>
      <c r="F4" s="999"/>
      <c r="G4" s="999"/>
    </row>
    <row r="5" spans="1:7" ht="19.5">
      <c r="B5" s="1217" t="s">
        <v>225</v>
      </c>
      <c r="C5" s="1217"/>
      <c r="D5" s="1217"/>
      <c r="E5" s="1217"/>
      <c r="F5" s="999"/>
      <c r="G5" s="999"/>
    </row>
    <row r="6" spans="1:7" ht="19.5">
      <c r="B6" s="1217" t="s">
        <v>226</v>
      </c>
      <c r="C6" s="1217"/>
      <c r="D6" s="1217"/>
      <c r="E6" s="1217"/>
      <c r="F6" s="999"/>
      <c r="G6" s="999"/>
    </row>
    <row r="7" spans="1:7" ht="19.5">
      <c r="B7" s="1217" t="s">
        <v>998</v>
      </c>
      <c r="C7" s="1217"/>
      <c r="D7" s="1217"/>
      <c r="E7" s="1217"/>
      <c r="F7" s="999"/>
      <c r="G7" s="999"/>
    </row>
    <row r="8" spans="1:7" ht="19.5">
      <c r="B8" s="1217"/>
      <c r="C8" s="1217"/>
      <c r="D8" s="1217"/>
      <c r="E8" s="1217"/>
      <c r="F8" s="999"/>
      <c r="G8" s="999"/>
    </row>
    <row r="9" spans="1:7" ht="19.5">
      <c r="B9" s="1218" t="s">
        <v>798</v>
      </c>
      <c r="C9" s="1122"/>
      <c r="D9" s="1122"/>
      <c r="E9" s="1122"/>
      <c r="F9" s="999"/>
      <c r="G9" s="999"/>
    </row>
    <row r="11" spans="1:7">
      <c r="B11" s="1000"/>
      <c r="C11" s="1000"/>
      <c r="D11" s="1001"/>
    </row>
    <row r="12" spans="1:7" ht="15" customHeight="1">
      <c r="B12" s="1000"/>
      <c r="C12" s="1000"/>
      <c r="D12" s="1001"/>
    </row>
    <row r="13" spans="1:7" ht="15.75">
      <c r="B13" s="1000"/>
      <c r="C13" s="1002" t="s">
        <v>33</v>
      </c>
      <c r="D13" s="1002" t="s">
        <v>35</v>
      </c>
    </row>
    <row r="14" spans="1:7" ht="16.5" thickBot="1">
      <c r="B14" s="1001"/>
      <c r="C14" s="1002" t="s">
        <v>34</v>
      </c>
      <c r="D14" s="1003" t="s">
        <v>295</v>
      </c>
    </row>
    <row r="15" spans="1:7">
      <c r="B15" s="1004" t="s">
        <v>36</v>
      </c>
      <c r="C15" s="1005"/>
      <c r="D15" s="1006"/>
    </row>
    <row r="16" spans="1:7">
      <c r="B16" s="1007"/>
      <c r="C16" s="1000"/>
      <c r="D16" s="1008"/>
    </row>
    <row r="17" spans="2:5">
      <c r="B17" s="1009" t="s">
        <v>54</v>
      </c>
      <c r="C17" s="1010">
        <v>350.1</v>
      </c>
      <c r="D17" s="1011">
        <v>1.7600000000000001E-2</v>
      </c>
    </row>
    <row r="18" spans="2:5">
      <c r="B18" s="998" t="s">
        <v>37</v>
      </c>
      <c r="C18" s="1010">
        <v>352</v>
      </c>
      <c r="D18" s="1011">
        <v>1.7600000000000001E-2</v>
      </c>
      <c r="E18" s="1011"/>
    </row>
    <row r="19" spans="2:5">
      <c r="B19" s="998" t="s">
        <v>38</v>
      </c>
      <c r="C19" s="1010">
        <v>353</v>
      </c>
      <c r="D19" s="1011">
        <v>2.6800000000000001E-2</v>
      </c>
    </row>
    <row r="20" spans="2:5">
      <c r="B20" s="998" t="s">
        <v>39</v>
      </c>
      <c r="C20" s="1010">
        <v>354</v>
      </c>
      <c r="D20" s="1011">
        <v>2.8500000000000001E-2</v>
      </c>
    </row>
    <row r="21" spans="2:5">
      <c r="B21" s="998" t="s">
        <v>40</v>
      </c>
      <c r="C21" s="1010">
        <v>355</v>
      </c>
      <c r="D21" s="1011">
        <v>3.4000000000000002E-2</v>
      </c>
      <c r="E21" s="1011"/>
    </row>
    <row r="22" spans="2:5">
      <c r="B22" s="998" t="s">
        <v>41</v>
      </c>
      <c r="C22" s="1010">
        <v>356</v>
      </c>
      <c r="D22" s="1011">
        <v>2.3400000000000001E-2</v>
      </c>
      <c r="E22" s="1012"/>
    </row>
    <row r="23" spans="2:5">
      <c r="B23" s="998" t="s">
        <v>42</v>
      </c>
      <c r="C23" s="1010">
        <v>357</v>
      </c>
      <c r="D23" s="1011">
        <v>2.2499999999999999E-2</v>
      </c>
    </row>
    <row r="24" spans="2:5">
      <c r="B24" s="998" t="s">
        <v>43</v>
      </c>
      <c r="C24" s="1010">
        <v>358</v>
      </c>
      <c r="D24" s="1011">
        <v>2.06E-2</v>
      </c>
    </row>
    <row r="25" spans="2:5" ht="15.75" thickBot="1">
      <c r="C25" s="1064"/>
      <c r="D25" s="1065"/>
    </row>
    <row r="26" spans="2:5">
      <c r="B26" s="1004" t="s">
        <v>978</v>
      </c>
      <c r="C26" s="1066"/>
      <c r="D26" s="1067"/>
    </row>
    <row r="27" spans="2:5">
      <c r="C27" s="1010"/>
      <c r="D27" s="1011"/>
    </row>
    <row r="28" spans="2:5">
      <c r="B28" s="998" t="s">
        <v>990</v>
      </c>
      <c r="C28" s="1068" t="s">
        <v>979</v>
      </c>
      <c r="D28" s="1011">
        <v>2.46E-2</v>
      </c>
    </row>
    <row r="29" spans="2:5">
      <c r="B29" s="998" t="s">
        <v>991</v>
      </c>
      <c r="C29" s="1068" t="s">
        <v>980</v>
      </c>
      <c r="D29" s="1011">
        <v>5.6500000000000002E-2</v>
      </c>
    </row>
    <row r="30" spans="2:5">
      <c r="B30" s="998" t="s">
        <v>992</v>
      </c>
      <c r="C30" s="1068" t="s">
        <v>981</v>
      </c>
      <c r="D30" s="1011">
        <v>5.0999999999999997E-2</v>
      </c>
    </row>
    <row r="31" spans="2:5">
      <c r="B31" s="998" t="s">
        <v>993</v>
      </c>
      <c r="C31" s="1068" t="s">
        <v>982</v>
      </c>
      <c r="D31" s="1011">
        <v>0.08</v>
      </c>
    </row>
    <row r="32" spans="2:5">
      <c r="B32" s="998" t="s">
        <v>994</v>
      </c>
      <c r="C32" s="1068" t="s">
        <v>983</v>
      </c>
      <c r="D32" s="1011">
        <v>7.5499999999999998E-2</v>
      </c>
    </row>
    <row r="33" spans="2:5">
      <c r="B33" s="998" t="s">
        <v>989</v>
      </c>
      <c r="C33" s="1068" t="s">
        <v>984</v>
      </c>
      <c r="D33" s="1011">
        <v>5.9900000000000002E-2</v>
      </c>
    </row>
    <row r="34" spans="2:5">
      <c r="B34" s="998" t="s">
        <v>995</v>
      </c>
      <c r="C34" s="1068" t="s">
        <v>985</v>
      </c>
      <c r="D34" s="1011">
        <v>7.0800000000000002E-2</v>
      </c>
    </row>
    <row r="35" spans="2:5">
      <c r="B35" s="998" t="s">
        <v>996</v>
      </c>
      <c r="C35" s="1068" t="s">
        <v>986</v>
      </c>
      <c r="D35" s="1011">
        <v>4.3099999999999999E-2</v>
      </c>
    </row>
    <row r="36" spans="2:5">
      <c r="B36" s="998" t="s">
        <v>997</v>
      </c>
      <c r="C36" s="1068" t="s">
        <v>987</v>
      </c>
      <c r="D36" s="1011">
        <v>3.7400000000000003E-2</v>
      </c>
    </row>
    <row r="37" spans="2:5">
      <c r="C37" s="1010"/>
      <c r="D37" s="1011"/>
    </row>
    <row r="39" spans="2:5" ht="64.900000000000006" customHeight="1">
      <c r="B39" s="1219" t="s">
        <v>825</v>
      </c>
      <c r="C39" s="1220"/>
      <c r="D39" s="1220"/>
      <c r="E39" s="1220"/>
    </row>
    <row r="40" spans="2:5">
      <c r="B40" s="1013"/>
      <c r="C40" s="439"/>
      <c r="D40" s="439"/>
      <c r="E40" s="439"/>
    </row>
    <row r="41" spans="2:5" ht="15.75">
      <c r="B41" s="1014" t="s">
        <v>72</v>
      </c>
      <c r="C41" s="1015" t="s">
        <v>826</v>
      </c>
      <c r="D41" s="1016" t="s">
        <v>545</v>
      </c>
      <c r="E41" s="1016"/>
    </row>
    <row r="42" spans="2:5">
      <c r="B42" s="1017" t="s">
        <v>544</v>
      </c>
      <c r="C42" s="1018">
        <v>3055969085</v>
      </c>
      <c r="D42" s="1019">
        <f>C42</f>
        <v>3055969085</v>
      </c>
      <c r="E42" s="1019"/>
    </row>
    <row r="43" spans="2:5">
      <c r="B43" s="1017" t="s">
        <v>543</v>
      </c>
      <c r="C43" s="1018">
        <v>2705758568</v>
      </c>
      <c r="D43" s="1019">
        <f>C43</f>
        <v>2705758568</v>
      </c>
      <c r="E43" s="1019"/>
    </row>
    <row r="44" spans="2:5">
      <c r="B44" s="1017" t="s">
        <v>230</v>
      </c>
      <c r="C44" s="1018">
        <f>AVERAGE(C42:C43)</f>
        <v>2880863826.5</v>
      </c>
      <c r="D44" s="1019">
        <f>C44</f>
        <v>2880863826.5</v>
      </c>
      <c r="E44" s="1019"/>
    </row>
    <row r="45" spans="2:5">
      <c r="B45" s="1020" t="s">
        <v>546</v>
      </c>
      <c r="C45" s="1018">
        <v>74085653</v>
      </c>
      <c r="D45" s="1019">
        <f>C45</f>
        <v>74085653</v>
      </c>
      <c r="E45" s="1019"/>
    </row>
    <row r="46" spans="2:5" ht="15.75">
      <c r="B46" s="1021" t="s">
        <v>44</v>
      </c>
      <c r="C46" s="941" t="s">
        <v>414</v>
      </c>
      <c r="D46" s="942">
        <f>D45/D44</f>
        <v>2.5716471677180122E-2</v>
      </c>
      <c r="E46" s="600"/>
    </row>
    <row r="48" spans="2:5">
      <c r="B48" s="1215" t="s">
        <v>988</v>
      </c>
      <c r="C48" s="1216"/>
      <c r="D48" s="1216"/>
      <c r="E48" s="1216"/>
    </row>
    <row r="49" spans="2:5">
      <c r="B49" s="1216"/>
      <c r="C49" s="1216"/>
      <c r="D49" s="1216"/>
      <c r="E49" s="1216"/>
    </row>
    <row r="50" spans="2:5" ht="91.9" customHeight="1">
      <c r="B50" s="1216"/>
      <c r="C50" s="1216"/>
      <c r="D50" s="1216"/>
      <c r="E50" s="1216"/>
    </row>
  </sheetData>
  <mergeCells count="9">
    <mergeCell ref="B48:E50"/>
    <mergeCell ref="B3:E3"/>
    <mergeCell ref="B4:E4"/>
    <mergeCell ref="B5:E5"/>
    <mergeCell ref="B6:E6"/>
    <mergeCell ref="B7:E7"/>
    <mergeCell ref="B8:E8"/>
    <mergeCell ref="B9:E9"/>
    <mergeCell ref="B39:E39"/>
  </mergeCells>
  <phoneticPr fontId="4" type="noConversion"/>
  <conditionalFormatting sqref="B3:B9 H3:IV10 C4:E8 F4:G9 B11:IV11 F12:IV65549 B51:E65549">
    <cfRule type="cellIs" dxfId="3" priority="5" stopIfTrue="1" operator="lessThan">
      <formula>0</formula>
    </cfRule>
  </conditionalFormatting>
  <conditionalFormatting sqref="B39:B45">
    <cfRule type="cellIs" dxfId="2" priority="3" stopIfTrue="1" operator="lessThan">
      <formula>0</formula>
    </cfRule>
  </conditionalFormatting>
  <conditionalFormatting sqref="C41:E46">
    <cfRule type="cellIs" dxfId="1" priority="2" stopIfTrue="1" operator="lessThan">
      <formula>0</formula>
    </cfRule>
  </conditionalFormatting>
  <conditionalFormatting sqref="D12:D13 B12:C23 E12:E38 D15:D23 B24:D27 C28:D36 B37:D37 D47 B47:B48">
    <cfRule type="cellIs" dxfId="0" priority="4" stopIfTrue="1" operator="lessThan">
      <formula>0</formula>
    </cfRule>
  </conditionalFormatting>
  <pageMargins left="0.55000000000000004" right="0.55000000000000004" top="1.25" bottom="0.75" header="0.75" footer="0.27"/>
  <pageSetup scale="62"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238"/>
  <sheetViews>
    <sheetView view="pageBreakPreview" zoomScale="75" zoomScaleNormal="75" zoomScaleSheetLayoutView="75" workbookViewId="0">
      <selection activeCell="E14" sqref="E14"/>
    </sheetView>
  </sheetViews>
  <sheetFormatPr defaultRowHeight="12.75"/>
  <cols>
    <col min="1" max="1" width="4.5703125" style="601" customWidth="1"/>
    <col min="2" max="2" width="68.140625" style="601" customWidth="1"/>
    <col min="3" max="3" width="18.140625" style="601" customWidth="1"/>
    <col min="4" max="4" width="2.140625" style="601" customWidth="1"/>
    <col min="5" max="5" width="17.28515625" style="601" customWidth="1"/>
    <col min="6" max="6" width="16.28515625" style="601" customWidth="1"/>
    <col min="7" max="7" width="14.5703125" style="601" customWidth="1"/>
    <col min="8" max="8" width="17.5703125" style="601" customWidth="1"/>
    <col min="9" max="9" width="14.42578125" style="601" customWidth="1"/>
    <col min="10" max="10" width="15.7109375" style="601" customWidth="1"/>
    <col min="11" max="16384" width="9.140625" style="601"/>
  </cols>
  <sheetData>
    <row r="1" spans="1:10" ht="15.75">
      <c r="A1" s="712" t="s">
        <v>414</v>
      </c>
    </row>
    <row r="2" spans="1:10" ht="15.75">
      <c r="A2" s="712" t="s">
        <v>414</v>
      </c>
    </row>
    <row r="3" spans="1:10">
      <c r="A3" s="1221" t="s">
        <v>513</v>
      </c>
      <c r="B3" s="1221"/>
      <c r="C3" s="1221"/>
      <c r="D3" s="1221"/>
      <c r="E3" s="1221"/>
      <c r="F3" s="1221"/>
      <c r="G3" s="1221"/>
      <c r="H3" s="1221"/>
      <c r="I3" s="1221"/>
      <c r="J3" s="1221"/>
    </row>
    <row r="4" spans="1:10">
      <c r="A4" s="1221" t="str">
        <f>"Consolidation of Operating Companies' Capital Structure @ December 31, "&amp;TCOS!L4&amp;""</f>
        <v>Consolidation of Operating Companies' Capital Structure @ December 31, 2026</v>
      </c>
      <c r="B4" s="1221"/>
      <c r="C4" s="1221"/>
      <c r="D4" s="1221"/>
      <c r="E4" s="1221"/>
      <c r="F4" s="1221"/>
      <c r="G4" s="1221"/>
      <c r="H4" s="1221"/>
      <c r="I4" s="1221"/>
      <c r="J4" s="1221"/>
    </row>
    <row r="5" spans="1:10">
      <c r="A5" s="1221" t="s">
        <v>256</v>
      </c>
      <c r="B5" s="1221"/>
      <c r="C5" s="1221"/>
      <c r="D5" s="1221"/>
      <c r="E5" s="1221"/>
      <c r="F5" s="1221"/>
      <c r="G5" s="1221"/>
      <c r="H5" s="1221"/>
      <c r="I5" s="1221"/>
      <c r="J5" s="1221"/>
    </row>
    <row r="7" spans="1:10" ht="76.5">
      <c r="A7" s="601" t="s">
        <v>467</v>
      </c>
      <c r="C7" s="602" t="s">
        <v>514</v>
      </c>
      <c r="D7" s="602"/>
      <c r="E7" s="602" t="s">
        <v>515</v>
      </c>
      <c r="F7" s="602" t="s">
        <v>516</v>
      </c>
      <c r="G7" s="602" t="s">
        <v>517</v>
      </c>
      <c r="H7" s="602" t="s">
        <v>518</v>
      </c>
      <c r="I7" s="602" t="s">
        <v>519</v>
      </c>
      <c r="J7" s="602" t="s">
        <v>520</v>
      </c>
    </row>
    <row r="8" spans="1:10" ht="15">
      <c r="A8" s="592" t="s">
        <v>521</v>
      </c>
    </row>
    <row r="9" spans="1:10">
      <c r="A9" s="601">
        <v>1</v>
      </c>
      <c r="B9" s="75" t="s">
        <v>346</v>
      </c>
      <c r="C9" s="593"/>
      <c r="D9" s="593"/>
      <c r="E9" s="593"/>
      <c r="F9" s="593"/>
      <c r="G9" s="593"/>
      <c r="H9" s="593"/>
      <c r="I9" s="593"/>
      <c r="J9" s="580">
        <f>SUM(C9:I9)</f>
        <v>0</v>
      </c>
    </row>
    <row r="10" spans="1:10">
      <c r="A10" s="601">
        <f>A9+1</f>
        <v>2</v>
      </c>
      <c r="B10" s="75" t="s">
        <v>347</v>
      </c>
      <c r="C10" s="593"/>
      <c r="D10" s="593"/>
      <c r="E10" s="593"/>
      <c r="F10" s="593"/>
      <c r="G10" s="593"/>
      <c r="H10" s="593"/>
      <c r="I10" s="593"/>
      <c r="J10" s="580">
        <f>SUM(C10:I10)</f>
        <v>0</v>
      </c>
    </row>
    <row r="11" spans="1:10">
      <c r="A11" s="601">
        <f>A10+1</f>
        <v>3</v>
      </c>
      <c r="B11" s="14" t="s">
        <v>23</v>
      </c>
      <c r="C11" s="593"/>
      <c r="D11" s="593"/>
      <c r="E11" s="593"/>
      <c r="F11" s="593"/>
      <c r="G11" s="593"/>
      <c r="H11" s="593"/>
      <c r="I11" s="593"/>
      <c r="J11" s="580">
        <f>SUM(C11:I11)</f>
        <v>0</v>
      </c>
    </row>
    <row r="12" spans="1:10">
      <c r="A12" s="601">
        <f>A11+1</f>
        <v>4</v>
      </c>
      <c r="B12" s="14" t="s">
        <v>17</v>
      </c>
      <c r="C12" s="593"/>
      <c r="D12" s="593"/>
      <c r="E12" s="593"/>
      <c r="F12" s="593"/>
      <c r="G12" s="593"/>
      <c r="H12" s="593"/>
      <c r="I12" s="593"/>
      <c r="J12" s="580">
        <f>SUM(C12:I12)</f>
        <v>0</v>
      </c>
    </row>
    <row r="13" spans="1:10">
      <c r="A13" s="601">
        <f>A12+1</f>
        <v>5</v>
      </c>
      <c r="B13" s="14" t="str">
        <f>"Less: Fair Value Hedges (See Note on Ln "&amp;A16&amp;" below)"</f>
        <v>Less: Fair Value Hedges (See Note on Ln 7 below)</v>
      </c>
      <c r="C13" s="116"/>
      <c r="D13" s="116"/>
      <c r="E13" s="116"/>
      <c r="F13" s="116"/>
      <c r="G13" s="116"/>
      <c r="H13" s="116"/>
      <c r="I13" s="116"/>
      <c r="J13" s="603">
        <f>SUM(C13:I13)</f>
        <v>0</v>
      </c>
    </row>
    <row r="14" spans="1:10">
      <c r="A14" s="601">
        <f>A13+1</f>
        <v>6</v>
      </c>
      <c r="B14" s="13" t="s">
        <v>67</v>
      </c>
      <c r="C14" s="604">
        <f t="shared" ref="C14:J14" si="0">C9-C10+C11+C12-C13</f>
        <v>0</v>
      </c>
      <c r="D14" s="604"/>
      <c r="E14" s="604">
        <f t="shared" si="0"/>
        <v>0</v>
      </c>
      <c r="F14" s="604">
        <f t="shared" si="0"/>
        <v>0</v>
      </c>
      <c r="G14" s="604">
        <f t="shared" si="0"/>
        <v>0</v>
      </c>
      <c r="H14" s="604">
        <f t="shared" si="0"/>
        <v>0</v>
      </c>
      <c r="I14" s="604">
        <f t="shared" si="0"/>
        <v>0</v>
      </c>
      <c r="J14" s="604">
        <f t="shared" si="0"/>
        <v>0</v>
      </c>
    </row>
    <row r="16" spans="1:10" ht="12.75" customHeight="1">
      <c r="A16" s="601">
        <f>A14+1</f>
        <v>7</v>
      </c>
      <c r="B16" s="1222" t="s">
        <v>553</v>
      </c>
      <c r="C16" s="1222"/>
      <c r="D16" s="1222"/>
      <c r="E16" s="1222"/>
      <c r="F16" s="1222"/>
      <c r="G16" s="1222"/>
      <c r="H16" s="1222"/>
      <c r="I16" s="1222"/>
      <c r="J16" s="1222"/>
    </row>
    <row r="17" spans="1:10" ht="12.75" customHeight="1">
      <c r="B17" s="605"/>
      <c r="C17" s="605"/>
      <c r="D17" s="605"/>
      <c r="E17" s="605"/>
      <c r="F17" s="605"/>
      <c r="G17" s="605"/>
      <c r="H17" s="605"/>
      <c r="I17" s="605"/>
      <c r="J17" s="605"/>
    </row>
    <row r="18" spans="1:10" ht="15">
      <c r="A18" s="592" t="s">
        <v>522</v>
      </c>
    </row>
    <row r="19" spans="1:10">
      <c r="A19" s="601">
        <f>A16+1</f>
        <v>8</v>
      </c>
      <c r="B19" s="75" t="s">
        <v>348</v>
      </c>
      <c r="C19" s="115"/>
      <c r="D19" s="115"/>
      <c r="E19" s="115"/>
      <c r="F19" s="115"/>
      <c r="G19" s="115"/>
      <c r="H19" s="115"/>
      <c r="I19" s="115"/>
      <c r="J19" s="332">
        <f t="shared" ref="J19:J24" si="1">SUM(C19:I19)</f>
        <v>0</v>
      </c>
    </row>
    <row r="20" spans="1:10">
      <c r="A20" s="601">
        <f t="shared" ref="A20:A25" si="2">A19+1</f>
        <v>9</v>
      </c>
      <c r="B20" s="75" t="s">
        <v>341</v>
      </c>
      <c r="C20" s="115"/>
      <c r="D20" s="115"/>
      <c r="E20" s="115"/>
      <c r="F20" s="115"/>
      <c r="G20" s="115"/>
      <c r="H20" s="115"/>
      <c r="I20" s="115"/>
      <c r="J20" s="332">
        <f t="shared" si="1"/>
        <v>0</v>
      </c>
    </row>
    <row r="21" spans="1:10">
      <c r="A21" s="601">
        <f t="shared" si="2"/>
        <v>10</v>
      </c>
      <c r="B21" s="75" t="s">
        <v>342</v>
      </c>
      <c r="C21" s="115"/>
      <c r="D21" s="115"/>
      <c r="E21" s="115"/>
      <c r="F21" s="115"/>
      <c r="G21" s="115"/>
      <c r="H21" s="115"/>
      <c r="I21" s="115"/>
      <c r="J21" s="332">
        <f t="shared" si="1"/>
        <v>0</v>
      </c>
    </row>
    <row r="22" spans="1:10">
      <c r="A22" s="601">
        <f t="shared" si="2"/>
        <v>11</v>
      </c>
      <c r="B22" s="75" t="s">
        <v>343</v>
      </c>
      <c r="C22" s="593"/>
      <c r="D22" s="593"/>
      <c r="E22" s="593"/>
      <c r="F22" s="593"/>
      <c r="G22" s="593"/>
      <c r="H22" s="593"/>
      <c r="I22" s="593"/>
      <c r="J22" s="580">
        <f t="shared" si="1"/>
        <v>0</v>
      </c>
    </row>
    <row r="23" spans="1:10">
      <c r="A23" s="601">
        <f t="shared" si="2"/>
        <v>12</v>
      </c>
      <c r="B23" s="75" t="s">
        <v>344</v>
      </c>
      <c r="C23" s="593"/>
      <c r="D23" s="593"/>
      <c r="E23" s="593"/>
      <c r="F23" s="593"/>
      <c r="G23" s="593"/>
      <c r="H23" s="593"/>
      <c r="I23" s="593"/>
      <c r="J23" s="580">
        <f t="shared" si="1"/>
        <v>0</v>
      </c>
    </row>
    <row r="24" spans="1:10">
      <c r="A24" s="601">
        <f t="shared" si="2"/>
        <v>13</v>
      </c>
      <c r="B24" s="606" t="s">
        <v>523</v>
      </c>
      <c r="C24" s="116"/>
      <c r="D24" s="116"/>
      <c r="E24" s="116"/>
      <c r="F24" s="116"/>
      <c r="G24" s="116"/>
      <c r="H24" s="116"/>
      <c r="I24" s="116"/>
      <c r="J24" s="603">
        <f t="shared" si="1"/>
        <v>0</v>
      </c>
    </row>
    <row r="25" spans="1:10">
      <c r="A25" s="601">
        <f t="shared" si="2"/>
        <v>14</v>
      </c>
      <c r="B25" s="607" t="s">
        <v>68</v>
      </c>
      <c r="C25" s="608">
        <f t="shared" ref="C25:J25" si="3">C19+C20+C21-C22-C23-C24</f>
        <v>0</v>
      </c>
      <c r="D25" s="608"/>
      <c r="E25" s="608">
        <f t="shared" si="3"/>
        <v>0</v>
      </c>
      <c r="F25" s="608">
        <f t="shared" si="3"/>
        <v>0</v>
      </c>
      <c r="G25" s="608">
        <f t="shared" si="3"/>
        <v>0</v>
      </c>
      <c r="H25" s="608">
        <f t="shared" si="3"/>
        <v>0</v>
      </c>
      <c r="I25" s="608">
        <f t="shared" si="3"/>
        <v>0</v>
      </c>
      <c r="J25" s="608">
        <f t="shared" si="3"/>
        <v>0</v>
      </c>
    </row>
    <row r="27" spans="1:10" ht="15">
      <c r="A27" s="592" t="s">
        <v>524</v>
      </c>
      <c r="B27" s="609"/>
      <c r="C27" s="609"/>
      <c r="D27" s="609"/>
      <c r="E27" s="609"/>
    </row>
    <row r="28" spans="1:10">
      <c r="A28" s="601">
        <f>A25+1</f>
        <v>15</v>
      </c>
      <c r="B28" s="76" t="s">
        <v>525</v>
      </c>
      <c r="C28" s="594"/>
      <c r="D28" s="625"/>
      <c r="E28" s="626"/>
      <c r="F28" s="625"/>
      <c r="G28" s="625"/>
      <c r="H28" s="594"/>
      <c r="I28" s="625"/>
      <c r="J28" s="610"/>
    </row>
    <row r="29" spans="1:10">
      <c r="A29" s="601">
        <f>A28+1</f>
        <v>16</v>
      </c>
      <c r="B29" s="76" t="s">
        <v>526</v>
      </c>
      <c r="C29" s="595"/>
      <c r="D29" s="627"/>
      <c r="E29" s="595"/>
      <c r="F29" s="627"/>
      <c r="G29" s="627"/>
      <c r="H29" s="595"/>
      <c r="I29" s="627"/>
      <c r="J29" s="611"/>
    </row>
    <row r="30" spans="1:10">
      <c r="A30" s="601">
        <f>A29+1</f>
        <v>17</v>
      </c>
      <c r="B30" s="76" t="s">
        <v>527</v>
      </c>
      <c r="C30" s="115"/>
      <c r="D30" s="628"/>
      <c r="E30" s="115"/>
      <c r="F30" s="628"/>
      <c r="G30" s="628"/>
      <c r="H30" s="115"/>
      <c r="I30" s="628"/>
    </row>
    <row r="31" spans="1:10">
      <c r="A31" s="601">
        <f>A30+1</f>
        <v>18</v>
      </c>
      <c r="B31" s="76" t="str">
        <f>"Monetary Value (Ln "&amp;A29&amp;" * Ln "&amp;A30&amp;")"</f>
        <v>Monetary Value (Ln 16 * Ln 17)</v>
      </c>
      <c r="C31" s="331">
        <f t="shared" ref="C31:I31" si="4">C29*C30</f>
        <v>0</v>
      </c>
      <c r="D31" s="331"/>
      <c r="E31" s="331">
        <f t="shared" si="4"/>
        <v>0</v>
      </c>
      <c r="F31" s="331">
        <f t="shared" si="4"/>
        <v>0</v>
      </c>
      <c r="G31" s="331">
        <f t="shared" si="4"/>
        <v>0</v>
      </c>
      <c r="H31" s="331">
        <f t="shared" si="4"/>
        <v>0</v>
      </c>
      <c r="I31" s="331">
        <f t="shared" si="4"/>
        <v>0</v>
      </c>
      <c r="J31" s="608">
        <f>SUM(C31:I31)</f>
        <v>0</v>
      </c>
    </row>
    <row r="32" spans="1:10">
      <c r="A32" s="601">
        <f>A31+1</f>
        <v>19</v>
      </c>
      <c r="B32" s="76" t="str">
        <f>"Dividend Amount (Ln "&amp;A28&amp;" * Ln "&amp;A31&amp;")"</f>
        <v>Dividend Amount (Ln 15 * Ln 18)</v>
      </c>
      <c r="C32" s="331">
        <f t="shared" ref="C32:I32" si="5">C31*C28</f>
        <v>0</v>
      </c>
      <c r="D32" s="331"/>
      <c r="E32" s="331">
        <f t="shared" si="5"/>
        <v>0</v>
      </c>
      <c r="F32" s="331">
        <f t="shared" si="5"/>
        <v>0</v>
      </c>
      <c r="G32" s="331">
        <f t="shared" si="5"/>
        <v>0</v>
      </c>
      <c r="H32" s="331">
        <f t="shared" si="5"/>
        <v>0</v>
      </c>
      <c r="I32" s="331">
        <f t="shared" si="5"/>
        <v>0</v>
      </c>
      <c r="J32" s="608">
        <f>SUM(C32:I32)</f>
        <v>0</v>
      </c>
    </row>
    <row r="34" spans="1:10">
      <c r="A34" s="601">
        <f>A32+1</f>
        <v>20</v>
      </c>
      <c r="B34" s="76" t="s">
        <v>525</v>
      </c>
      <c r="C34" s="594"/>
      <c r="D34" s="625"/>
      <c r="E34" s="626"/>
      <c r="F34" s="625"/>
      <c r="G34" s="625"/>
      <c r="H34" s="594"/>
      <c r="I34" s="625"/>
    </row>
    <row r="35" spans="1:10">
      <c r="A35" s="601">
        <f>A34+1</f>
        <v>21</v>
      </c>
      <c r="B35" s="76" t="s">
        <v>526</v>
      </c>
      <c r="C35" s="595"/>
      <c r="D35" s="627"/>
      <c r="E35" s="595"/>
      <c r="F35" s="627"/>
      <c r="G35" s="627"/>
      <c r="H35" s="595"/>
      <c r="I35" s="627"/>
    </row>
    <row r="36" spans="1:10">
      <c r="A36" s="601">
        <f>A35+1</f>
        <v>22</v>
      </c>
      <c r="B36" s="76" t="s">
        <v>527</v>
      </c>
      <c r="C36" s="115"/>
      <c r="D36" s="628"/>
      <c r="E36" s="115"/>
      <c r="F36" s="628"/>
      <c r="G36" s="628"/>
      <c r="H36" s="115"/>
      <c r="I36" s="628"/>
    </row>
    <row r="37" spans="1:10">
      <c r="A37" s="601">
        <f>A36+1</f>
        <v>23</v>
      </c>
      <c r="B37" s="76" t="str">
        <f>"Monetary Value (Ln "&amp;A35&amp;" * Ln "&amp;A36&amp;")"</f>
        <v>Monetary Value (Ln 21 * Ln 22)</v>
      </c>
      <c r="C37" s="331">
        <f t="shared" ref="C37:I37" si="6">C35*C36</f>
        <v>0</v>
      </c>
      <c r="D37" s="331"/>
      <c r="E37" s="331">
        <f t="shared" si="6"/>
        <v>0</v>
      </c>
      <c r="F37" s="331">
        <f t="shared" si="6"/>
        <v>0</v>
      </c>
      <c r="G37" s="331">
        <f t="shared" si="6"/>
        <v>0</v>
      </c>
      <c r="H37" s="331">
        <f t="shared" si="6"/>
        <v>0</v>
      </c>
      <c r="I37" s="331">
        <f t="shared" si="6"/>
        <v>0</v>
      </c>
      <c r="J37" s="608">
        <f>SUM(C37:I37)</f>
        <v>0</v>
      </c>
    </row>
    <row r="38" spans="1:10">
      <c r="A38" s="601">
        <f>A37+1</f>
        <v>24</v>
      </c>
      <c r="B38" s="76" t="str">
        <f>"Dividend Amount (Ln "&amp;A34&amp;" * Ln "&amp;A37&amp;")"</f>
        <v>Dividend Amount (Ln 20 * Ln 23)</v>
      </c>
      <c r="C38" s="331">
        <f t="shared" ref="C38:I38" si="7">C37*C34</f>
        <v>0</v>
      </c>
      <c r="D38" s="331"/>
      <c r="E38" s="331">
        <f t="shared" si="7"/>
        <v>0</v>
      </c>
      <c r="F38" s="331">
        <f t="shared" si="7"/>
        <v>0</v>
      </c>
      <c r="G38" s="331">
        <f t="shared" si="7"/>
        <v>0</v>
      </c>
      <c r="H38" s="331">
        <f t="shared" si="7"/>
        <v>0</v>
      </c>
      <c r="I38" s="331">
        <f t="shared" si="7"/>
        <v>0</v>
      </c>
      <c r="J38" s="608">
        <f>SUM(C38:I38)</f>
        <v>0</v>
      </c>
    </row>
    <row r="40" spans="1:10">
      <c r="A40" s="601">
        <f>A38+1</f>
        <v>25</v>
      </c>
      <c r="B40" s="76" t="s">
        <v>525</v>
      </c>
      <c r="C40" s="594"/>
      <c r="D40" s="625"/>
      <c r="E40" s="626"/>
      <c r="F40" s="625"/>
      <c r="G40" s="625"/>
      <c r="H40" s="594"/>
      <c r="I40" s="625"/>
    </row>
    <row r="41" spans="1:10">
      <c r="A41" s="601">
        <f>A40+1</f>
        <v>26</v>
      </c>
      <c r="B41" s="76" t="s">
        <v>526</v>
      </c>
      <c r="C41" s="595"/>
      <c r="D41" s="627"/>
      <c r="E41" s="595"/>
      <c r="F41" s="627"/>
      <c r="G41" s="627"/>
      <c r="H41" s="595"/>
      <c r="I41" s="627"/>
    </row>
    <row r="42" spans="1:10">
      <c r="A42" s="601">
        <f>A41+1</f>
        <v>27</v>
      </c>
      <c r="B42" s="76" t="s">
        <v>527</v>
      </c>
      <c r="C42" s="115"/>
      <c r="D42" s="628"/>
      <c r="E42" s="115"/>
      <c r="F42" s="628"/>
      <c r="G42" s="628"/>
      <c r="H42" s="115"/>
      <c r="I42" s="628"/>
    </row>
    <row r="43" spans="1:10">
      <c r="A43" s="601">
        <f>A42+1</f>
        <v>28</v>
      </c>
      <c r="B43" s="76" t="str">
        <f>"Monetary Value (Ln "&amp;A41&amp;" * Ln "&amp;A42&amp;")"</f>
        <v>Monetary Value (Ln 26 * Ln 27)</v>
      </c>
      <c r="C43" s="331">
        <f t="shared" ref="C43:I43" si="8">C41*C42</f>
        <v>0</v>
      </c>
      <c r="D43" s="331"/>
      <c r="E43" s="331">
        <f t="shared" si="8"/>
        <v>0</v>
      </c>
      <c r="F43" s="331">
        <f t="shared" si="8"/>
        <v>0</v>
      </c>
      <c r="G43" s="331">
        <f t="shared" si="8"/>
        <v>0</v>
      </c>
      <c r="H43" s="331">
        <f t="shared" si="8"/>
        <v>0</v>
      </c>
      <c r="I43" s="331">
        <f t="shared" si="8"/>
        <v>0</v>
      </c>
      <c r="J43" s="608">
        <f>SUM(C43:I43)</f>
        <v>0</v>
      </c>
    </row>
    <row r="44" spans="1:10">
      <c r="A44" s="601">
        <f>A43+1</f>
        <v>29</v>
      </c>
      <c r="B44" s="76" t="str">
        <f>"Dividend Amount (Ln "&amp;A40&amp;" * Ln "&amp;A43&amp;")"</f>
        <v>Dividend Amount (Ln 25 * Ln 28)</v>
      </c>
      <c r="C44" s="331">
        <f t="shared" ref="C44:I44" si="9">C43*C40</f>
        <v>0</v>
      </c>
      <c r="D44" s="331"/>
      <c r="E44" s="331">
        <f t="shared" si="9"/>
        <v>0</v>
      </c>
      <c r="F44" s="331">
        <f t="shared" si="9"/>
        <v>0</v>
      </c>
      <c r="G44" s="331">
        <f t="shared" si="9"/>
        <v>0</v>
      </c>
      <c r="H44" s="331">
        <f t="shared" si="9"/>
        <v>0</v>
      </c>
      <c r="I44" s="331">
        <f t="shared" si="9"/>
        <v>0</v>
      </c>
      <c r="J44" s="608">
        <f>SUM(C44:I44)</f>
        <v>0</v>
      </c>
    </row>
    <row r="46" spans="1:10">
      <c r="A46" s="601">
        <f>A44+1</f>
        <v>30</v>
      </c>
      <c r="B46" s="76" t="s">
        <v>525</v>
      </c>
      <c r="C46" s="594"/>
      <c r="D46" s="625"/>
      <c r="E46" s="626"/>
      <c r="F46" s="625"/>
      <c r="G46" s="625"/>
      <c r="H46" s="594"/>
      <c r="I46" s="625"/>
    </row>
    <row r="47" spans="1:10">
      <c r="A47" s="601">
        <f>A46+1</f>
        <v>31</v>
      </c>
      <c r="B47" s="76" t="s">
        <v>526</v>
      </c>
      <c r="C47" s="595"/>
      <c r="D47" s="627"/>
      <c r="E47" s="595"/>
      <c r="F47" s="627"/>
      <c r="G47" s="627"/>
      <c r="H47" s="595"/>
      <c r="I47" s="627"/>
    </row>
    <row r="48" spans="1:10">
      <c r="A48" s="601">
        <f>A47+1</f>
        <v>32</v>
      </c>
      <c r="B48" s="76" t="s">
        <v>527</v>
      </c>
      <c r="C48" s="115"/>
      <c r="D48" s="628"/>
      <c r="E48" s="115"/>
      <c r="F48" s="628"/>
      <c r="G48" s="628"/>
      <c r="H48" s="115"/>
      <c r="I48" s="628"/>
    </row>
    <row r="49" spans="1:10">
      <c r="A49" s="601">
        <f>A48+1</f>
        <v>33</v>
      </c>
      <c r="B49" s="76" t="str">
        <f>"Monetary Value (Ln "&amp;A47&amp;" * Ln "&amp;A48&amp;")"</f>
        <v>Monetary Value (Ln 31 * Ln 32)</v>
      </c>
      <c r="C49" s="331">
        <f t="shared" ref="C49:I49" si="10">C47*C48</f>
        <v>0</v>
      </c>
      <c r="D49" s="331"/>
      <c r="E49" s="331">
        <f t="shared" si="10"/>
        <v>0</v>
      </c>
      <c r="F49" s="331">
        <f t="shared" si="10"/>
        <v>0</v>
      </c>
      <c r="G49" s="331">
        <f t="shared" si="10"/>
        <v>0</v>
      </c>
      <c r="H49" s="331">
        <f t="shared" si="10"/>
        <v>0</v>
      </c>
      <c r="I49" s="331">
        <f t="shared" si="10"/>
        <v>0</v>
      </c>
      <c r="J49" s="608">
        <f>SUM(C49:I49)</f>
        <v>0</v>
      </c>
    </row>
    <row r="50" spans="1:10">
      <c r="A50" s="601">
        <f>A49+1</f>
        <v>34</v>
      </c>
      <c r="B50" s="76" t="str">
        <f>"Dividend Amount (Ln "&amp;A46&amp;" * Ln "&amp;A49&amp;")"</f>
        <v>Dividend Amount (Ln 30 * Ln 33)</v>
      </c>
      <c r="C50" s="331">
        <f t="shared" ref="C50:I50" si="11">C49*C46</f>
        <v>0</v>
      </c>
      <c r="D50" s="331"/>
      <c r="E50" s="331">
        <f t="shared" si="11"/>
        <v>0</v>
      </c>
      <c r="F50" s="331">
        <f t="shared" si="11"/>
        <v>0</v>
      </c>
      <c r="G50" s="331">
        <f t="shared" si="11"/>
        <v>0</v>
      </c>
      <c r="H50" s="331">
        <f t="shared" si="11"/>
        <v>0</v>
      </c>
      <c r="I50" s="331">
        <f t="shared" si="11"/>
        <v>0</v>
      </c>
      <c r="J50" s="608">
        <f>SUM(C50:I50)</f>
        <v>0</v>
      </c>
    </row>
    <row r="51" spans="1:10">
      <c r="B51" s="76"/>
    </row>
    <row r="52" spans="1:10">
      <c r="A52" s="601">
        <f>A50+1</f>
        <v>35</v>
      </c>
      <c r="B52" s="334" t="str">
        <f>"Preferred Stock (Lns "&amp;A31&amp;", "&amp;A37&amp;", "&amp;A43&amp;","&amp;A49&amp;")"</f>
        <v>Preferred Stock (Lns 18, 23, 28,33)</v>
      </c>
      <c r="C52" s="608">
        <f t="shared" ref="C52:I53" si="12">C31+C37+C43+C49</f>
        <v>0</v>
      </c>
      <c r="D52" s="608"/>
      <c r="E52" s="608">
        <f t="shared" si="12"/>
        <v>0</v>
      </c>
      <c r="F52" s="608">
        <f t="shared" si="12"/>
        <v>0</v>
      </c>
      <c r="G52" s="608">
        <f t="shared" si="12"/>
        <v>0</v>
      </c>
      <c r="H52" s="608">
        <f t="shared" si="12"/>
        <v>0</v>
      </c>
      <c r="I52" s="608">
        <f t="shared" si="12"/>
        <v>0</v>
      </c>
      <c r="J52" s="608">
        <f>SUM(C52:I52)</f>
        <v>0</v>
      </c>
    </row>
    <row r="53" spans="1:10">
      <c r="A53" s="601">
        <f>A52+1</f>
        <v>36</v>
      </c>
      <c r="B53" s="334" t="str">
        <f>"Preferred Dividends (Lns "&amp;A32&amp;", "&amp;A38&amp;", "&amp;A44&amp;","&amp;A50&amp;")"</f>
        <v>Preferred Dividends (Lns 19, 24, 29,34)</v>
      </c>
      <c r="C53" s="608">
        <f t="shared" si="12"/>
        <v>0</v>
      </c>
      <c r="D53" s="608"/>
      <c r="E53" s="608">
        <f t="shared" si="12"/>
        <v>0</v>
      </c>
      <c r="F53" s="608">
        <f t="shared" si="12"/>
        <v>0</v>
      </c>
      <c r="G53" s="608">
        <f t="shared" si="12"/>
        <v>0</v>
      </c>
      <c r="H53" s="608">
        <f t="shared" si="12"/>
        <v>0</v>
      </c>
      <c r="I53" s="608">
        <f t="shared" si="12"/>
        <v>0</v>
      </c>
      <c r="J53" s="608">
        <f>SUM(C53:I53)</f>
        <v>0</v>
      </c>
    </row>
    <row r="54" spans="1:10">
      <c r="B54" s="612"/>
    </row>
    <row r="55" spans="1:10" ht="15">
      <c r="A55" s="592" t="s">
        <v>528</v>
      </c>
    </row>
    <row r="56" spans="1:10">
      <c r="A56" s="601">
        <f>A53+1</f>
        <v>37</v>
      </c>
      <c r="B56" s="442" t="s">
        <v>529</v>
      </c>
      <c r="C56" s="115"/>
      <c r="D56" s="115"/>
      <c r="E56" s="115"/>
      <c r="F56" s="115"/>
      <c r="G56" s="115"/>
      <c r="H56" s="115"/>
      <c r="I56" s="115"/>
      <c r="J56" s="608">
        <f>SUM(C56:I56)</f>
        <v>0</v>
      </c>
    </row>
    <row r="57" spans="1:10">
      <c r="A57" s="601">
        <f>A56+1</f>
        <v>38</v>
      </c>
      <c r="B57" s="442" t="str">
        <f>"Less: Preferred Stock (Ln "&amp;A52&amp;" Above)"</f>
        <v>Less: Preferred Stock (Ln 35 Above)</v>
      </c>
      <c r="C57" s="332">
        <f t="shared" ref="C57:I57" si="13">C52</f>
        <v>0</v>
      </c>
      <c r="D57" s="332"/>
      <c r="E57" s="332">
        <f t="shared" si="13"/>
        <v>0</v>
      </c>
      <c r="F57" s="332">
        <f t="shared" si="13"/>
        <v>0</v>
      </c>
      <c r="G57" s="332">
        <f t="shared" si="13"/>
        <v>0</v>
      </c>
      <c r="H57" s="332">
        <f t="shared" si="13"/>
        <v>0</v>
      </c>
      <c r="I57" s="332">
        <f t="shared" si="13"/>
        <v>0</v>
      </c>
      <c r="J57" s="608">
        <f>SUM(C57:I57)</f>
        <v>0</v>
      </c>
    </row>
    <row r="58" spans="1:10">
      <c r="A58" s="601">
        <f>A57+1</f>
        <v>39</v>
      </c>
      <c r="B58" s="442" t="s">
        <v>530</v>
      </c>
      <c r="C58" s="593"/>
      <c r="D58" s="593"/>
      <c r="E58" s="593"/>
      <c r="F58" s="593"/>
      <c r="G58" s="593"/>
      <c r="H58" s="593"/>
      <c r="I58" s="593"/>
      <c r="J58" s="608">
        <f>SUM(C58:I58)</f>
        <v>0</v>
      </c>
    </row>
    <row r="59" spans="1:10">
      <c r="A59" s="601">
        <f>A58+1</f>
        <v>40</v>
      </c>
      <c r="B59" s="442" t="s">
        <v>531</v>
      </c>
      <c r="C59" s="116"/>
      <c r="D59" s="116"/>
      <c r="E59" s="116"/>
      <c r="F59" s="116"/>
      <c r="G59" s="116"/>
      <c r="H59" s="116"/>
      <c r="I59" s="116"/>
      <c r="J59" s="613">
        <f>SUM(C59:I59)</f>
        <v>0</v>
      </c>
    </row>
    <row r="60" spans="1:10">
      <c r="A60" s="601">
        <f>A59+1</f>
        <v>41</v>
      </c>
      <c r="B60" s="446" t="s">
        <v>532</v>
      </c>
      <c r="C60" s="580">
        <f t="shared" ref="C60:J60" si="14">C56-C57-C58-C59</f>
        <v>0</v>
      </c>
      <c r="D60" s="580"/>
      <c r="E60" s="580">
        <f t="shared" si="14"/>
        <v>0</v>
      </c>
      <c r="F60" s="580">
        <f t="shared" si="14"/>
        <v>0</v>
      </c>
      <c r="G60" s="580">
        <f t="shared" si="14"/>
        <v>0</v>
      </c>
      <c r="H60" s="580">
        <f t="shared" si="14"/>
        <v>0</v>
      </c>
      <c r="I60" s="580">
        <f t="shared" si="14"/>
        <v>0</v>
      </c>
      <c r="J60" s="580">
        <f t="shared" si="14"/>
        <v>0</v>
      </c>
    </row>
    <row r="62" spans="1:10" ht="15">
      <c r="A62" s="592" t="s">
        <v>533</v>
      </c>
    </row>
    <row r="63" spans="1:10">
      <c r="A63" s="601">
        <f>A60+1</f>
        <v>42</v>
      </c>
      <c r="B63" s="7" t="str">
        <f>"Long Term Debt (Ln "&amp;A14&amp;" Above)"</f>
        <v>Long Term Debt (Ln 6 Above)</v>
      </c>
      <c r="C63" s="608">
        <f t="shared" ref="C63:J63" si="15">C14</f>
        <v>0</v>
      </c>
      <c r="D63" s="608"/>
      <c r="E63" s="608">
        <f t="shared" si="15"/>
        <v>0</v>
      </c>
      <c r="F63" s="608">
        <f t="shared" si="15"/>
        <v>0</v>
      </c>
      <c r="G63" s="608">
        <f t="shared" si="15"/>
        <v>0</v>
      </c>
      <c r="H63" s="608">
        <f t="shared" si="15"/>
        <v>0</v>
      </c>
      <c r="I63" s="608">
        <f t="shared" si="15"/>
        <v>0</v>
      </c>
      <c r="J63" s="608">
        <f t="shared" si="15"/>
        <v>0</v>
      </c>
    </row>
    <row r="64" spans="1:10">
      <c r="A64" s="601">
        <f>A63+1</f>
        <v>43</v>
      </c>
      <c r="B64" s="7" t="str">
        <f>"Preferred Stock (Ln "&amp;A52&amp;" Above)"</f>
        <v>Preferred Stock (Ln 35 Above)</v>
      </c>
      <c r="C64" s="608">
        <f t="shared" ref="C64:J64" si="16">C52</f>
        <v>0</v>
      </c>
      <c r="D64" s="608"/>
      <c r="E64" s="608">
        <f t="shared" si="16"/>
        <v>0</v>
      </c>
      <c r="F64" s="608">
        <f t="shared" si="16"/>
        <v>0</v>
      </c>
      <c r="G64" s="608">
        <f t="shared" si="16"/>
        <v>0</v>
      </c>
      <c r="H64" s="608">
        <f t="shared" si="16"/>
        <v>0</v>
      </c>
      <c r="I64" s="608">
        <f t="shared" si="16"/>
        <v>0</v>
      </c>
      <c r="J64" s="608">
        <f t="shared" si="16"/>
        <v>0</v>
      </c>
    </row>
    <row r="65" spans="1:10">
      <c r="A65" s="601">
        <f>A64+1</f>
        <v>44</v>
      </c>
      <c r="B65" s="7" t="str">
        <f>"Common Equity (Ln "&amp;A60&amp;" Above)"</f>
        <v>Common Equity (Ln 41 Above)</v>
      </c>
      <c r="C65" s="613">
        <f t="shared" ref="C65:J65" si="17">C60</f>
        <v>0</v>
      </c>
      <c r="D65" s="613"/>
      <c r="E65" s="613">
        <f t="shared" si="17"/>
        <v>0</v>
      </c>
      <c r="F65" s="613">
        <f t="shared" si="17"/>
        <v>0</v>
      </c>
      <c r="G65" s="613">
        <f t="shared" si="17"/>
        <v>0</v>
      </c>
      <c r="H65" s="613">
        <f t="shared" si="17"/>
        <v>0</v>
      </c>
      <c r="I65" s="613">
        <f t="shared" si="17"/>
        <v>0</v>
      </c>
      <c r="J65" s="613">
        <f t="shared" si="17"/>
        <v>0</v>
      </c>
    </row>
    <row r="66" spans="1:10">
      <c r="A66" s="601">
        <f>A65+1</f>
        <v>45</v>
      </c>
      <c r="B66" s="601" t="s">
        <v>534</v>
      </c>
      <c r="C66" s="608">
        <f t="shared" ref="C66:J66" si="18">SUM(C63:C65)</f>
        <v>0</v>
      </c>
      <c r="D66" s="608"/>
      <c r="E66" s="608">
        <f t="shared" si="18"/>
        <v>0</v>
      </c>
      <c r="F66" s="608">
        <f t="shared" si="18"/>
        <v>0</v>
      </c>
      <c r="G66" s="608">
        <f t="shared" si="18"/>
        <v>0</v>
      </c>
      <c r="H66" s="608">
        <f t="shared" si="18"/>
        <v>0</v>
      </c>
      <c r="I66" s="608">
        <f t="shared" si="18"/>
        <v>0</v>
      </c>
      <c r="J66" s="608">
        <f t="shared" si="18"/>
        <v>0</v>
      </c>
    </row>
    <row r="68" spans="1:10">
      <c r="A68" s="601">
        <f>A66+1</f>
        <v>46</v>
      </c>
      <c r="B68" s="7" t="str">
        <f>"LTD Capital Shares (Ln "&amp;A63&amp;" / Ln "&amp;A66&amp;")"</f>
        <v>LTD Capital Shares (Ln 42 / Ln 45)</v>
      </c>
      <c r="C68" s="614" t="e">
        <f t="shared" ref="C68:J68" si="19">C63/C66</f>
        <v>#DIV/0!</v>
      </c>
      <c r="D68" s="614"/>
      <c r="E68" s="614" t="e">
        <f t="shared" si="19"/>
        <v>#DIV/0!</v>
      </c>
      <c r="F68" s="614" t="e">
        <f t="shared" si="19"/>
        <v>#DIV/0!</v>
      </c>
      <c r="G68" s="614" t="e">
        <f t="shared" si="19"/>
        <v>#DIV/0!</v>
      </c>
      <c r="H68" s="614" t="e">
        <f t="shared" si="19"/>
        <v>#DIV/0!</v>
      </c>
      <c r="I68" s="614" t="e">
        <f t="shared" si="19"/>
        <v>#DIV/0!</v>
      </c>
      <c r="J68" s="614" t="e">
        <f t="shared" si="19"/>
        <v>#DIV/0!</v>
      </c>
    </row>
    <row r="69" spans="1:10">
      <c r="A69" s="601">
        <f>A68+1</f>
        <v>47</v>
      </c>
      <c r="B69" s="7" t="str">
        <f>"Preferred Stock Capital Shares (Ln "&amp;A64&amp;" / Ln "&amp;A66&amp;")"</f>
        <v>Preferred Stock Capital Shares (Ln 43 / Ln 45)</v>
      </c>
      <c r="C69" s="614" t="e">
        <f t="shared" ref="C69:J69" si="20">C64/C66</f>
        <v>#DIV/0!</v>
      </c>
      <c r="D69" s="614"/>
      <c r="E69" s="614" t="e">
        <f t="shared" si="20"/>
        <v>#DIV/0!</v>
      </c>
      <c r="F69" s="614" t="e">
        <f t="shared" si="20"/>
        <v>#DIV/0!</v>
      </c>
      <c r="G69" s="614" t="e">
        <f t="shared" si="20"/>
        <v>#DIV/0!</v>
      </c>
      <c r="H69" s="614" t="e">
        <f t="shared" si="20"/>
        <v>#DIV/0!</v>
      </c>
      <c r="I69" s="614" t="e">
        <f t="shared" si="20"/>
        <v>#DIV/0!</v>
      </c>
      <c r="J69" s="614" t="e">
        <f t="shared" si="20"/>
        <v>#DIV/0!</v>
      </c>
    </row>
    <row r="70" spans="1:10">
      <c r="A70" s="601">
        <f>A69+1</f>
        <v>48</v>
      </c>
      <c r="B70" s="7" t="str">
        <f>"Common Equity Capital Shares (Ln "&amp;A65&amp;" / Ln "&amp;A66&amp;")"</f>
        <v>Common Equity Capital Shares (Ln 44 / Ln 45)</v>
      </c>
      <c r="C70" s="615" t="e">
        <f t="shared" ref="C70:J70" si="21">C65/C66</f>
        <v>#DIV/0!</v>
      </c>
      <c r="D70" s="615"/>
      <c r="E70" s="615" t="e">
        <f t="shared" si="21"/>
        <v>#DIV/0!</v>
      </c>
      <c r="F70" s="615" t="e">
        <f t="shared" si="21"/>
        <v>#DIV/0!</v>
      </c>
      <c r="G70" s="615" t="e">
        <f t="shared" si="21"/>
        <v>#DIV/0!</v>
      </c>
      <c r="H70" s="615" t="e">
        <f t="shared" si="21"/>
        <v>#DIV/0!</v>
      </c>
      <c r="I70" s="615" t="e">
        <f t="shared" si="21"/>
        <v>#DIV/0!</v>
      </c>
      <c r="J70" s="615" t="e">
        <f t="shared" si="21"/>
        <v>#DIV/0!</v>
      </c>
    </row>
    <row r="71" spans="1:10">
      <c r="B71" s="7"/>
      <c r="C71" s="615"/>
      <c r="D71" s="615"/>
      <c r="E71" s="615"/>
      <c r="F71" s="615"/>
      <c r="G71" s="615"/>
      <c r="H71" s="615"/>
      <c r="I71" s="615"/>
      <c r="J71" s="615"/>
    </row>
    <row r="72" spans="1:10">
      <c r="A72" s="601">
        <f>A70+1</f>
        <v>49</v>
      </c>
      <c r="B72" s="334" t="s">
        <v>564</v>
      </c>
      <c r="C72" s="616"/>
      <c r="D72" s="616"/>
      <c r="E72" s="616"/>
      <c r="F72" s="616"/>
      <c r="G72" s="616"/>
      <c r="H72" s="616"/>
      <c r="I72" s="616"/>
      <c r="J72" s="616"/>
    </row>
    <row r="73" spans="1:10">
      <c r="B73" s="7"/>
      <c r="C73" s="615"/>
      <c r="D73" s="615"/>
      <c r="E73" s="615"/>
      <c r="F73" s="615"/>
      <c r="G73" s="615"/>
      <c r="H73" s="615"/>
      <c r="I73" s="615"/>
      <c r="J73" s="615"/>
    </row>
    <row r="74" spans="1:10">
      <c r="A74" s="601">
        <f>A72+1</f>
        <v>50</v>
      </c>
      <c r="B74" s="334" t="s">
        <v>564</v>
      </c>
      <c r="C74" s="615"/>
      <c r="D74" s="615"/>
      <c r="E74" s="615"/>
      <c r="F74" s="615"/>
      <c r="G74" s="615"/>
      <c r="H74" s="615"/>
      <c r="I74" s="615"/>
      <c r="J74" s="615"/>
    </row>
    <row r="75" spans="1:10">
      <c r="A75" s="601">
        <f>A74+1</f>
        <v>51</v>
      </c>
      <c r="B75" s="334" t="s">
        <v>564</v>
      </c>
      <c r="C75" s="615"/>
      <c r="D75" s="615"/>
      <c r="E75" s="615"/>
      <c r="F75" s="615"/>
      <c r="G75" s="615"/>
      <c r="H75" s="615"/>
      <c r="I75" s="615"/>
      <c r="J75" s="615"/>
    </row>
    <row r="76" spans="1:10">
      <c r="A76" s="601">
        <f>A75+1</f>
        <v>52</v>
      </c>
      <c r="B76" s="334" t="s">
        <v>564</v>
      </c>
      <c r="C76" s="615"/>
      <c r="D76" s="615"/>
      <c r="E76" s="615"/>
      <c r="F76" s="615"/>
      <c r="G76" s="615"/>
      <c r="H76" s="615"/>
      <c r="I76" s="615"/>
      <c r="J76" s="615"/>
    </row>
    <row r="77" spans="1:10">
      <c r="B77" s="7"/>
      <c r="C77" s="614"/>
      <c r="D77" s="614"/>
      <c r="E77" s="614"/>
      <c r="F77" s="614"/>
      <c r="G77" s="614"/>
      <c r="H77" s="614"/>
      <c r="I77" s="614"/>
      <c r="J77" s="614"/>
    </row>
    <row r="78" spans="1:10" ht="15">
      <c r="A78" s="592" t="s">
        <v>535</v>
      </c>
    </row>
    <row r="79" spans="1:10">
      <c r="A79" s="601">
        <f>A76+1</f>
        <v>53</v>
      </c>
      <c r="B79" s="7" t="str">
        <f>"LTD Capital Cost Rate (Ln "&amp;A25&amp;" / Ln "&amp;A14&amp;")"</f>
        <v>LTD Capital Cost Rate (Ln 14 / Ln 6)</v>
      </c>
      <c r="C79" s="614" t="e">
        <f t="shared" ref="C79:J79" si="22">C25/C14</f>
        <v>#DIV/0!</v>
      </c>
      <c r="D79" s="614"/>
      <c r="E79" s="614" t="e">
        <f t="shared" si="22"/>
        <v>#DIV/0!</v>
      </c>
      <c r="F79" s="614" t="e">
        <f t="shared" si="22"/>
        <v>#DIV/0!</v>
      </c>
      <c r="G79" s="614" t="e">
        <f t="shared" si="22"/>
        <v>#DIV/0!</v>
      </c>
      <c r="H79" s="614" t="e">
        <f t="shared" si="22"/>
        <v>#DIV/0!</v>
      </c>
      <c r="I79" s="614" t="e">
        <f t="shared" si="22"/>
        <v>#DIV/0!</v>
      </c>
      <c r="J79" s="614" t="e">
        <f t="shared" si="22"/>
        <v>#DIV/0!</v>
      </c>
    </row>
    <row r="80" spans="1:10">
      <c r="A80" s="601">
        <f>A79+1</f>
        <v>54</v>
      </c>
      <c r="B80" s="7" t="str">
        <f>"Preferred Stock Capital Cost Rate (Ln "&amp;A53&amp;" / Ln "&amp;A52&amp;")"</f>
        <v>Preferred Stock Capital Cost Rate (Ln 36 / Ln 35)</v>
      </c>
      <c r="C80" s="614">
        <f t="shared" ref="C80:J80" si="23">IF(C52=0,0,C53/C52)</f>
        <v>0</v>
      </c>
      <c r="D80" s="614"/>
      <c r="E80" s="614">
        <f t="shared" si="23"/>
        <v>0</v>
      </c>
      <c r="F80" s="614">
        <f t="shared" si="23"/>
        <v>0</v>
      </c>
      <c r="G80" s="614">
        <f t="shared" si="23"/>
        <v>0</v>
      </c>
      <c r="H80" s="614">
        <f t="shared" si="23"/>
        <v>0</v>
      </c>
      <c r="I80" s="614">
        <f t="shared" si="23"/>
        <v>0</v>
      </c>
      <c r="J80" s="614">
        <f t="shared" si="23"/>
        <v>0</v>
      </c>
    </row>
    <row r="81" spans="1:10">
      <c r="A81" s="601">
        <f>A80+1</f>
        <v>55</v>
      </c>
      <c r="B81" s="7" t="s">
        <v>536</v>
      </c>
      <c r="C81" s="614">
        <v>0.1149</v>
      </c>
      <c r="D81" s="614"/>
      <c r="E81" s="614">
        <v>0.1149</v>
      </c>
      <c r="F81" s="614">
        <v>0.1149</v>
      </c>
      <c r="G81" s="614">
        <v>0.1149</v>
      </c>
      <c r="H81" s="614">
        <v>0.1149</v>
      </c>
      <c r="I81" s="614">
        <v>0.1149</v>
      </c>
      <c r="J81" s="614">
        <v>0.1149</v>
      </c>
    </row>
    <row r="83" spans="1:10" ht="15">
      <c r="A83" s="592" t="s">
        <v>537</v>
      </c>
    </row>
    <row r="84" spans="1:10">
      <c r="A84" s="601">
        <f>A81+1</f>
        <v>56</v>
      </c>
      <c r="B84" s="7" t="str">
        <f>"LTD Weighted Capital Cost Rate (Ln "&amp;A68&amp;" * Ln "&amp;A79&amp;")"</f>
        <v>LTD Weighted Capital Cost Rate (Ln 46 * Ln 53)</v>
      </c>
      <c r="C84" s="614" t="e">
        <f>C68*C79</f>
        <v>#DIV/0!</v>
      </c>
      <c r="D84" s="614"/>
      <c r="E84" s="614" t="e">
        <f t="shared" ref="E84:J84" si="24">E68*E79</f>
        <v>#DIV/0!</v>
      </c>
      <c r="F84" s="614" t="e">
        <f t="shared" si="24"/>
        <v>#DIV/0!</v>
      </c>
      <c r="G84" s="614" t="e">
        <f t="shared" si="24"/>
        <v>#DIV/0!</v>
      </c>
      <c r="H84" s="614" t="e">
        <f t="shared" si="24"/>
        <v>#DIV/0!</v>
      </c>
      <c r="I84" s="614" t="e">
        <f t="shared" si="24"/>
        <v>#DIV/0!</v>
      </c>
      <c r="J84" s="614" t="e">
        <f t="shared" si="24"/>
        <v>#DIV/0!</v>
      </c>
    </row>
    <row r="85" spans="1:10">
      <c r="A85" s="601">
        <f>A84+1</f>
        <v>57</v>
      </c>
      <c r="B85" s="7" t="str">
        <f>"Preferred Stock Capital Cost Rate (Ln "&amp;A69&amp;" * Ln "&amp;A80&amp;")"</f>
        <v>Preferred Stock Capital Cost Rate (Ln 47 * Ln 54)</v>
      </c>
      <c r="C85" s="614" t="e">
        <f>C69*C80</f>
        <v>#DIV/0!</v>
      </c>
      <c r="D85" s="614"/>
      <c r="E85" s="614" t="e">
        <f t="shared" ref="E85:J85" si="25">E69*E80</f>
        <v>#DIV/0!</v>
      </c>
      <c r="F85" s="614" t="e">
        <f t="shared" si="25"/>
        <v>#DIV/0!</v>
      </c>
      <c r="G85" s="614" t="e">
        <f t="shared" si="25"/>
        <v>#DIV/0!</v>
      </c>
      <c r="H85" s="614" t="e">
        <f t="shared" si="25"/>
        <v>#DIV/0!</v>
      </c>
      <c r="I85" s="614" t="e">
        <f t="shared" si="25"/>
        <v>#DIV/0!</v>
      </c>
      <c r="J85" s="614" t="e">
        <f t="shared" si="25"/>
        <v>#DIV/0!</v>
      </c>
    </row>
    <row r="86" spans="1:10">
      <c r="A86" s="601">
        <f>A85+1</f>
        <v>58</v>
      </c>
      <c r="B86" s="7" t="str">
        <f>"Common Equity Capital Cost Rate (Ln "&amp;A70&amp;" * Ln "&amp;A81&amp;")"</f>
        <v>Common Equity Capital Cost Rate (Ln 48 * Ln 55)</v>
      </c>
      <c r="C86" s="617" t="e">
        <f>C70*C81</f>
        <v>#DIV/0!</v>
      </c>
      <c r="D86" s="617"/>
      <c r="E86" s="617" t="e">
        <f t="shared" ref="E86:J86" si="26">E70*E81</f>
        <v>#DIV/0!</v>
      </c>
      <c r="F86" s="617" t="e">
        <f t="shared" si="26"/>
        <v>#DIV/0!</v>
      </c>
      <c r="G86" s="617" t="e">
        <f t="shared" si="26"/>
        <v>#DIV/0!</v>
      </c>
      <c r="H86" s="617" t="e">
        <f t="shared" si="26"/>
        <v>#DIV/0!</v>
      </c>
      <c r="I86" s="617" t="e">
        <f t="shared" si="26"/>
        <v>#DIV/0!</v>
      </c>
      <c r="J86" s="617" t="e">
        <f t="shared" si="26"/>
        <v>#DIV/0!</v>
      </c>
    </row>
    <row r="87" spans="1:10">
      <c r="A87" s="601">
        <f>A86+1</f>
        <v>59</v>
      </c>
      <c r="B87" s="607" t="s">
        <v>534</v>
      </c>
      <c r="C87" s="618" t="e">
        <f t="shared" ref="C87:J87" si="27">SUM(C84:C86)</f>
        <v>#DIV/0!</v>
      </c>
      <c r="D87" s="618"/>
      <c r="E87" s="618" t="e">
        <f t="shared" si="27"/>
        <v>#DIV/0!</v>
      </c>
      <c r="F87" s="618" t="e">
        <f t="shared" si="27"/>
        <v>#DIV/0!</v>
      </c>
      <c r="G87" s="618" t="e">
        <f t="shared" si="27"/>
        <v>#DIV/0!</v>
      </c>
      <c r="H87" s="618" t="e">
        <f t="shared" si="27"/>
        <v>#DIV/0!</v>
      </c>
      <c r="I87" s="618" t="e">
        <f t="shared" si="27"/>
        <v>#DIV/0!</v>
      </c>
      <c r="J87" s="618" t="e">
        <f t="shared" si="27"/>
        <v>#DIV/0!</v>
      </c>
    </row>
    <row r="90" spans="1:10">
      <c r="A90" s="1221" t="s">
        <v>513</v>
      </c>
      <c r="B90" s="1221"/>
      <c r="C90" s="1221"/>
      <c r="D90" s="1221"/>
      <c r="E90" s="1221"/>
      <c r="F90" s="1221"/>
      <c r="G90" s="1221"/>
      <c r="H90" s="1221"/>
      <c r="I90" s="1221"/>
      <c r="J90" s="1221"/>
    </row>
    <row r="91" spans="1:10">
      <c r="A91" s="1221" t="str">
        <f>"Consolidation of Operating Companies' Capital Structure @ December 31, "&amp;TCOS!L4-1&amp;""</f>
        <v>Consolidation of Operating Companies' Capital Structure @ December 31, 2025</v>
      </c>
      <c r="B91" s="1221"/>
      <c r="C91" s="1221"/>
      <c r="D91" s="1221"/>
      <c r="E91" s="1221"/>
      <c r="F91" s="1221"/>
      <c r="G91" s="1221"/>
      <c r="H91" s="1221"/>
      <c r="I91" s="1221"/>
      <c r="J91" s="1221"/>
    </row>
    <row r="92" spans="1:10">
      <c r="A92" s="1221" t="s">
        <v>257</v>
      </c>
      <c r="B92" s="1221"/>
      <c r="C92" s="1221"/>
      <c r="D92" s="1221"/>
      <c r="E92" s="1221"/>
      <c r="F92" s="1221"/>
      <c r="G92" s="1221"/>
      <c r="H92" s="1221"/>
      <c r="I92" s="1221"/>
      <c r="J92" s="1221"/>
    </row>
    <row r="93" spans="1:10">
      <c r="B93" s="612"/>
    </row>
    <row r="94" spans="1:10" ht="76.5">
      <c r="A94" s="601" t="s">
        <v>467</v>
      </c>
      <c r="C94" s="602" t="s">
        <v>514</v>
      </c>
      <c r="D94" s="602"/>
      <c r="E94" s="602" t="s">
        <v>515</v>
      </c>
      <c r="F94" s="602" t="s">
        <v>516</v>
      </c>
      <c r="G94" s="602" t="s">
        <v>517</v>
      </c>
      <c r="H94" s="602" t="s">
        <v>518</v>
      </c>
      <c r="I94" s="602" t="s">
        <v>519</v>
      </c>
      <c r="J94" s="602" t="s">
        <v>520</v>
      </c>
    </row>
    <row r="95" spans="1:10" ht="15">
      <c r="A95" s="592" t="s">
        <v>521</v>
      </c>
    </row>
    <row r="96" spans="1:10">
      <c r="A96" s="601">
        <f>A87+1</f>
        <v>60</v>
      </c>
      <c r="B96" s="75" t="s">
        <v>346</v>
      </c>
      <c r="C96" s="593"/>
      <c r="D96" s="593"/>
      <c r="E96" s="593"/>
      <c r="F96" s="593"/>
      <c r="G96" s="593"/>
      <c r="H96" s="593"/>
      <c r="I96" s="593"/>
      <c r="J96" s="580">
        <f>SUM(C96:I96)</f>
        <v>0</v>
      </c>
    </row>
    <row r="97" spans="1:10">
      <c r="A97" s="601">
        <f>A96+1</f>
        <v>61</v>
      </c>
      <c r="B97" s="75" t="s">
        <v>347</v>
      </c>
      <c r="C97" s="593"/>
      <c r="D97" s="593"/>
      <c r="E97" s="593"/>
      <c r="F97" s="593"/>
      <c r="G97" s="593"/>
      <c r="H97" s="593"/>
      <c r="I97" s="593"/>
      <c r="J97" s="580">
        <f>SUM(C97:I97)</f>
        <v>0</v>
      </c>
    </row>
    <row r="98" spans="1:10">
      <c r="A98" s="601">
        <f>A97+1</f>
        <v>62</v>
      </c>
      <c r="B98" s="14" t="s">
        <v>23</v>
      </c>
      <c r="C98" s="593"/>
      <c r="D98" s="593"/>
      <c r="E98" s="593"/>
      <c r="F98" s="593"/>
      <c r="G98" s="593"/>
      <c r="H98" s="593"/>
      <c r="I98" s="593"/>
      <c r="J98" s="580">
        <f>SUM(C98:I98)</f>
        <v>0</v>
      </c>
    </row>
    <row r="99" spans="1:10">
      <c r="A99" s="601">
        <f>A98+1</f>
        <v>63</v>
      </c>
      <c r="B99" s="14" t="s">
        <v>17</v>
      </c>
      <c r="C99" s="593"/>
      <c r="D99" s="593"/>
      <c r="E99" s="593"/>
      <c r="F99" s="593"/>
      <c r="G99" s="593"/>
      <c r="H99" s="593"/>
      <c r="I99" s="593"/>
      <c r="J99" s="580">
        <f>SUM(C99:I99)</f>
        <v>0</v>
      </c>
    </row>
    <row r="100" spans="1:10">
      <c r="A100" s="601">
        <f>A99+1</f>
        <v>64</v>
      </c>
      <c r="B100" s="14" t="str">
        <f>"Less: Fair Value Hedges (See Note on Ln "&amp;A103&amp;" below)"</f>
        <v>Less: Fair Value Hedges (See Note on Ln 66 below)</v>
      </c>
      <c r="C100" s="116"/>
      <c r="D100" s="116"/>
      <c r="E100" s="116"/>
      <c r="F100" s="116"/>
      <c r="G100" s="116"/>
      <c r="H100" s="116"/>
      <c r="I100" s="116"/>
      <c r="J100" s="603">
        <f>SUM(C100:I100)</f>
        <v>0</v>
      </c>
    </row>
    <row r="101" spans="1:10">
      <c r="A101" s="601">
        <f>A100+1</f>
        <v>65</v>
      </c>
      <c r="B101" s="13" t="s">
        <v>67</v>
      </c>
      <c r="C101" s="604">
        <f t="shared" ref="C101:J101" si="28">C96-C97+C98+C99-C100</f>
        <v>0</v>
      </c>
      <c r="D101" s="604"/>
      <c r="E101" s="604">
        <f t="shared" si="28"/>
        <v>0</v>
      </c>
      <c r="F101" s="604">
        <f t="shared" si="28"/>
        <v>0</v>
      </c>
      <c r="G101" s="604">
        <f t="shared" si="28"/>
        <v>0</v>
      </c>
      <c r="H101" s="604">
        <f t="shared" si="28"/>
        <v>0</v>
      </c>
      <c r="I101" s="604">
        <f t="shared" si="28"/>
        <v>0</v>
      </c>
      <c r="J101" s="604">
        <f t="shared" si="28"/>
        <v>0</v>
      </c>
    </row>
    <row r="103" spans="1:10">
      <c r="A103" s="601">
        <f>A101+1</f>
        <v>66</v>
      </c>
      <c r="B103" s="1222" t="s">
        <v>66</v>
      </c>
      <c r="C103" s="1222"/>
      <c r="D103" s="1222"/>
      <c r="E103" s="1222"/>
      <c r="F103" s="1222"/>
      <c r="G103" s="1222"/>
      <c r="H103" s="1222"/>
      <c r="I103" s="1222"/>
      <c r="J103" s="1222"/>
    </row>
    <row r="104" spans="1:10">
      <c r="B104" s="605"/>
      <c r="C104" s="605"/>
      <c r="D104" s="605"/>
      <c r="E104" s="605"/>
      <c r="F104" s="605"/>
      <c r="G104" s="605"/>
      <c r="H104" s="605"/>
      <c r="I104" s="605"/>
      <c r="J104" s="605"/>
    </row>
    <row r="105" spans="1:10" ht="15">
      <c r="A105" s="592" t="s">
        <v>522</v>
      </c>
    </row>
    <row r="106" spans="1:10">
      <c r="A106" s="601">
        <f>A103+1</f>
        <v>67</v>
      </c>
      <c r="B106" s="75" t="s">
        <v>348</v>
      </c>
      <c r="C106" s="115"/>
      <c r="D106" s="115"/>
      <c r="E106" s="115"/>
      <c r="F106" s="115"/>
      <c r="G106" s="115"/>
      <c r="H106" s="115"/>
      <c r="I106" s="115"/>
      <c r="J106" s="332">
        <f t="shared" ref="J106:J111" si="29">SUM(C106:I106)</f>
        <v>0</v>
      </c>
    </row>
    <row r="107" spans="1:10">
      <c r="A107" s="601">
        <f t="shared" ref="A107:A112" si="30">A106+1</f>
        <v>68</v>
      </c>
      <c r="B107" s="75" t="s">
        <v>341</v>
      </c>
      <c r="C107" s="115"/>
      <c r="D107" s="115"/>
      <c r="E107" s="115"/>
      <c r="F107" s="115"/>
      <c r="G107" s="115"/>
      <c r="H107" s="115"/>
      <c r="I107" s="115"/>
      <c r="J107" s="332">
        <f t="shared" si="29"/>
        <v>0</v>
      </c>
    </row>
    <row r="108" spans="1:10">
      <c r="A108" s="601">
        <f t="shared" si="30"/>
        <v>69</v>
      </c>
      <c r="B108" s="75" t="s">
        <v>342</v>
      </c>
      <c r="C108" s="115"/>
      <c r="D108" s="115"/>
      <c r="E108" s="115"/>
      <c r="F108" s="115"/>
      <c r="G108" s="115"/>
      <c r="H108" s="115"/>
      <c r="I108" s="115"/>
      <c r="J108" s="332">
        <f t="shared" si="29"/>
        <v>0</v>
      </c>
    </row>
    <row r="109" spans="1:10">
      <c r="A109" s="601">
        <f t="shared" si="30"/>
        <v>70</v>
      </c>
      <c r="B109" s="75" t="s">
        <v>343</v>
      </c>
      <c r="C109" s="593"/>
      <c r="D109" s="593"/>
      <c r="E109" s="593"/>
      <c r="F109" s="593"/>
      <c r="G109" s="593"/>
      <c r="H109" s="593"/>
      <c r="I109" s="593"/>
      <c r="J109" s="580">
        <f t="shared" si="29"/>
        <v>0</v>
      </c>
    </row>
    <row r="110" spans="1:10">
      <c r="A110" s="601">
        <f t="shared" si="30"/>
        <v>71</v>
      </c>
      <c r="B110" s="75" t="s">
        <v>344</v>
      </c>
      <c r="C110" s="593"/>
      <c r="D110" s="593"/>
      <c r="E110" s="593"/>
      <c r="F110" s="593"/>
      <c r="G110" s="593"/>
      <c r="H110" s="593"/>
      <c r="I110" s="593"/>
      <c r="J110" s="580">
        <f t="shared" si="29"/>
        <v>0</v>
      </c>
    </row>
    <row r="111" spans="1:10">
      <c r="A111" s="601">
        <f t="shared" si="30"/>
        <v>72</v>
      </c>
      <c r="B111" s="606" t="s">
        <v>523</v>
      </c>
      <c r="C111" s="116"/>
      <c r="D111" s="116"/>
      <c r="E111" s="116"/>
      <c r="F111" s="116"/>
      <c r="G111" s="116"/>
      <c r="H111" s="116"/>
      <c r="I111" s="116"/>
      <c r="J111" s="603">
        <f t="shared" si="29"/>
        <v>0</v>
      </c>
    </row>
    <row r="112" spans="1:10">
      <c r="A112" s="601">
        <f t="shared" si="30"/>
        <v>73</v>
      </c>
      <c r="B112" s="607" t="s">
        <v>68</v>
      </c>
      <c r="C112" s="608">
        <f t="shared" ref="C112:J112" si="31">C106+C107+C108-C109-C110-C111</f>
        <v>0</v>
      </c>
      <c r="D112" s="608"/>
      <c r="E112" s="608">
        <f t="shared" si="31"/>
        <v>0</v>
      </c>
      <c r="F112" s="608">
        <f t="shared" si="31"/>
        <v>0</v>
      </c>
      <c r="G112" s="608">
        <f t="shared" si="31"/>
        <v>0</v>
      </c>
      <c r="H112" s="608">
        <f t="shared" si="31"/>
        <v>0</v>
      </c>
      <c r="I112" s="608">
        <f t="shared" si="31"/>
        <v>0</v>
      </c>
      <c r="J112" s="608">
        <f t="shared" si="31"/>
        <v>0</v>
      </c>
    </row>
    <row r="114" spans="1:10" ht="15">
      <c r="A114" s="592" t="s">
        <v>524</v>
      </c>
      <c r="B114" s="609"/>
      <c r="C114" s="609"/>
      <c r="D114" s="609"/>
      <c r="E114" s="609"/>
    </row>
    <row r="115" spans="1:10">
      <c r="A115" s="601">
        <f>A112+1</f>
        <v>74</v>
      </c>
      <c r="B115" s="76" t="s">
        <v>525</v>
      </c>
      <c r="C115" s="594"/>
      <c r="D115" s="625"/>
      <c r="E115" s="626"/>
      <c r="F115" s="625"/>
      <c r="G115" s="625"/>
      <c r="H115" s="594"/>
      <c r="I115" s="625"/>
      <c r="J115" s="610"/>
    </row>
    <row r="116" spans="1:10">
      <c r="A116" s="601">
        <f>A115+1</f>
        <v>75</v>
      </c>
      <c r="B116" s="76" t="s">
        <v>526</v>
      </c>
      <c r="C116" s="595"/>
      <c r="D116" s="627"/>
      <c r="E116" s="595"/>
      <c r="F116" s="627"/>
      <c r="G116" s="627"/>
      <c r="H116" s="595"/>
      <c r="I116" s="627"/>
      <c r="J116" s="611"/>
    </row>
    <row r="117" spans="1:10">
      <c r="A117" s="601">
        <f>A116+1</f>
        <v>76</v>
      </c>
      <c r="B117" s="76" t="s">
        <v>527</v>
      </c>
      <c r="C117" s="115"/>
      <c r="D117" s="628"/>
      <c r="E117" s="115"/>
      <c r="F117" s="628"/>
      <c r="G117" s="628"/>
      <c r="H117" s="115"/>
      <c r="I117" s="628"/>
    </row>
    <row r="118" spans="1:10">
      <c r="A118" s="601">
        <f>A117+1</f>
        <v>77</v>
      </c>
      <c r="B118" s="76" t="str">
        <f>"Monetary Value (Ln "&amp;A116&amp;" * Ln "&amp;A117&amp;")"</f>
        <v>Monetary Value (Ln 75 * Ln 76)</v>
      </c>
      <c r="C118" s="331">
        <f t="shared" ref="C118:I118" si="32">C116*C117</f>
        <v>0</v>
      </c>
      <c r="D118" s="331"/>
      <c r="E118" s="331">
        <f t="shared" si="32"/>
        <v>0</v>
      </c>
      <c r="F118" s="331">
        <f t="shared" si="32"/>
        <v>0</v>
      </c>
      <c r="G118" s="331">
        <f t="shared" si="32"/>
        <v>0</v>
      </c>
      <c r="H118" s="331">
        <f t="shared" si="32"/>
        <v>0</v>
      </c>
      <c r="I118" s="331">
        <f t="shared" si="32"/>
        <v>0</v>
      </c>
      <c r="J118" s="608">
        <f>SUM(C118:I118)</f>
        <v>0</v>
      </c>
    </row>
    <row r="119" spans="1:10">
      <c r="A119" s="601">
        <f>A118+1</f>
        <v>78</v>
      </c>
      <c r="B119" s="76" t="str">
        <f>"Dividend Amount (Ln "&amp;A115&amp;" * Ln "&amp;A118&amp;")"</f>
        <v>Dividend Amount (Ln 74 * Ln 77)</v>
      </c>
      <c r="C119" s="331">
        <f t="shared" ref="C119:I119" si="33">C118*C115</f>
        <v>0</v>
      </c>
      <c r="D119" s="331"/>
      <c r="E119" s="331">
        <f t="shared" si="33"/>
        <v>0</v>
      </c>
      <c r="F119" s="331">
        <f t="shared" si="33"/>
        <v>0</v>
      </c>
      <c r="G119" s="331">
        <f t="shared" si="33"/>
        <v>0</v>
      </c>
      <c r="H119" s="331">
        <f t="shared" si="33"/>
        <v>0</v>
      </c>
      <c r="I119" s="331">
        <f t="shared" si="33"/>
        <v>0</v>
      </c>
      <c r="J119" s="608">
        <f>SUM(C119:I119)</f>
        <v>0</v>
      </c>
    </row>
    <row r="121" spans="1:10">
      <c r="A121" s="601">
        <f>A119+1</f>
        <v>79</v>
      </c>
      <c r="B121" s="76" t="s">
        <v>525</v>
      </c>
      <c r="C121" s="594"/>
      <c r="D121" s="625"/>
      <c r="E121" s="626"/>
      <c r="F121" s="625"/>
      <c r="G121" s="625"/>
      <c r="H121" s="594"/>
      <c r="I121" s="625"/>
    </row>
    <row r="122" spans="1:10">
      <c r="A122" s="601">
        <f>A121+1</f>
        <v>80</v>
      </c>
      <c r="B122" s="76" t="s">
        <v>526</v>
      </c>
      <c r="C122" s="595"/>
      <c r="D122" s="627"/>
      <c r="E122" s="595"/>
      <c r="F122" s="627"/>
      <c r="G122" s="627"/>
      <c r="H122" s="595"/>
      <c r="I122" s="627"/>
    </row>
    <row r="123" spans="1:10">
      <c r="A123" s="601">
        <f>A122+1</f>
        <v>81</v>
      </c>
      <c r="B123" s="76" t="s">
        <v>527</v>
      </c>
      <c r="C123" s="115"/>
      <c r="D123" s="628"/>
      <c r="E123" s="115"/>
      <c r="F123" s="628"/>
      <c r="G123" s="628"/>
      <c r="H123" s="115"/>
      <c r="I123" s="628"/>
    </row>
    <row r="124" spans="1:10">
      <c r="A124" s="601">
        <f>A123+1</f>
        <v>82</v>
      </c>
      <c r="B124" s="76" t="str">
        <f>"Monetary Value (Ln "&amp;A122&amp;" * Ln "&amp;A123&amp;")"</f>
        <v>Monetary Value (Ln 80 * Ln 81)</v>
      </c>
      <c r="C124" s="331">
        <f t="shared" ref="C124:I124" si="34">C122*C123</f>
        <v>0</v>
      </c>
      <c r="D124" s="331"/>
      <c r="E124" s="331">
        <f t="shared" si="34"/>
        <v>0</v>
      </c>
      <c r="F124" s="331">
        <f t="shared" si="34"/>
        <v>0</v>
      </c>
      <c r="G124" s="331">
        <f t="shared" si="34"/>
        <v>0</v>
      </c>
      <c r="H124" s="331">
        <f t="shared" si="34"/>
        <v>0</v>
      </c>
      <c r="I124" s="331">
        <f t="shared" si="34"/>
        <v>0</v>
      </c>
      <c r="J124" s="608">
        <f>SUM(C124:I124)</f>
        <v>0</v>
      </c>
    </row>
    <row r="125" spans="1:10">
      <c r="A125" s="601">
        <f>A124+1</f>
        <v>83</v>
      </c>
      <c r="B125" s="76" t="str">
        <f>"Dividend Amount (Ln "&amp;A121&amp;" * Ln "&amp;A124&amp;")"</f>
        <v>Dividend Amount (Ln 79 * Ln 82)</v>
      </c>
      <c r="C125" s="331">
        <f t="shared" ref="C125:I125" si="35">C124*C121</f>
        <v>0</v>
      </c>
      <c r="D125" s="331"/>
      <c r="E125" s="331">
        <f t="shared" si="35"/>
        <v>0</v>
      </c>
      <c r="F125" s="331">
        <f t="shared" si="35"/>
        <v>0</v>
      </c>
      <c r="G125" s="331">
        <f t="shared" si="35"/>
        <v>0</v>
      </c>
      <c r="H125" s="331">
        <f t="shared" si="35"/>
        <v>0</v>
      </c>
      <c r="I125" s="331">
        <f t="shared" si="35"/>
        <v>0</v>
      </c>
      <c r="J125" s="608">
        <f>SUM(C125:I125)</f>
        <v>0</v>
      </c>
    </row>
    <row r="127" spans="1:10">
      <c r="A127" s="601">
        <f>A125+1</f>
        <v>84</v>
      </c>
      <c r="B127" s="76" t="s">
        <v>525</v>
      </c>
      <c r="C127" s="594"/>
      <c r="D127" s="625"/>
      <c r="E127" s="626"/>
      <c r="F127" s="625"/>
      <c r="G127" s="625"/>
      <c r="H127" s="594"/>
      <c r="I127" s="625"/>
    </row>
    <row r="128" spans="1:10">
      <c r="A128" s="601">
        <f>A127+1</f>
        <v>85</v>
      </c>
      <c r="B128" s="76" t="s">
        <v>526</v>
      </c>
      <c r="C128" s="595"/>
      <c r="D128" s="627"/>
      <c r="E128" s="595"/>
      <c r="F128" s="627"/>
      <c r="G128" s="627"/>
      <c r="H128" s="595"/>
      <c r="I128" s="627"/>
    </row>
    <row r="129" spans="1:10">
      <c r="A129" s="601">
        <f>A128+1</f>
        <v>86</v>
      </c>
      <c r="B129" s="76" t="s">
        <v>527</v>
      </c>
      <c r="C129" s="115"/>
      <c r="D129" s="628"/>
      <c r="E129" s="115"/>
      <c r="F129" s="628"/>
      <c r="G129" s="628"/>
      <c r="H129" s="115"/>
      <c r="I129" s="628"/>
    </row>
    <row r="130" spans="1:10">
      <c r="A130" s="601">
        <f>A129+1</f>
        <v>87</v>
      </c>
      <c r="B130" s="76" t="str">
        <f>"Monetary Value (Ln "&amp;A128&amp;" * Ln "&amp;A129&amp;")"</f>
        <v>Monetary Value (Ln 85 * Ln 86)</v>
      </c>
      <c r="C130" s="331">
        <f t="shared" ref="C130:I130" si="36">C128*C129</f>
        <v>0</v>
      </c>
      <c r="D130" s="331"/>
      <c r="E130" s="331">
        <f t="shared" si="36"/>
        <v>0</v>
      </c>
      <c r="F130" s="331">
        <f t="shared" si="36"/>
        <v>0</v>
      </c>
      <c r="G130" s="331">
        <f t="shared" si="36"/>
        <v>0</v>
      </c>
      <c r="H130" s="331">
        <f t="shared" si="36"/>
        <v>0</v>
      </c>
      <c r="I130" s="331">
        <f t="shared" si="36"/>
        <v>0</v>
      </c>
      <c r="J130" s="608">
        <f>SUM(C130:I130)</f>
        <v>0</v>
      </c>
    </row>
    <row r="131" spans="1:10">
      <c r="A131" s="601">
        <f>A130+1</f>
        <v>88</v>
      </c>
      <c r="B131" s="76" t="str">
        <f>"Dividend Amount (Ln "&amp;A127&amp;" * Ln "&amp;A130&amp;")"</f>
        <v>Dividend Amount (Ln 84 * Ln 87)</v>
      </c>
      <c r="C131" s="331">
        <f t="shared" ref="C131:I131" si="37">C130*C127</f>
        <v>0</v>
      </c>
      <c r="D131" s="331"/>
      <c r="E131" s="331">
        <f t="shared" si="37"/>
        <v>0</v>
      </c>
      <c r="F131" s="331">
        <f t="shared" si="37"/>
        <v>0</v>
      </c>
      <c r="G131" s="331">
        <f t="shared" si="37"/>
        <v>0</v>
      </c>
      <c r="H131" s="331">
        <f t="shared" si="37"/>
        <v>0</v>
      </c>
      <c r="I131" s="331">
        <f t="shared" si="37"/>
        <v>0</v>
      </c>
      <c r="J131" s="608">
        <f>SUM(C131:I131)</f>
        <v>0</v>
      </c>
    </row>
    <row r="133" spans="1:10">
      <c r="A133" s="601">
        <f>A131+1</f>
        <v>89</v>
      </c>
      <c r="B133" s="76" t="s">
        <v>525</v>
      </c>
      <c r="C133" s="594"/>
      <c r="D133" s="625"/>
      <c r="E133" s="626"/>
      <c r="F133" s="625"/>
      <c r="G133" s="625"/>
      <c r="H133" s="594"/>
      <c r="I133" s="625"/>
    </row>
    <row r="134" spans="1:10">
      <c r="A134" s="601">
        <f>A133+1</f>
        <v>90</v>
      </c>
      <c r="B134" s="76" t="s">
        <v>526</v>
      </c>
      <c r="C134" s="595"/>
      <c r="D134" s="627"/>
      <c r="E134" s="595"/>
      <c r="F134" s="627"/>
      <c r="G134" s="627"/>
      <c r="H134" s="595"/>
      <c r="I134" s="627"/>
    </row>
    <row r="135" spans="1:10">
      <c r="A135" s="601">
        <f>A134+1</f>
        <v>91</v>
      </c>
      <c r="B135" s="76" t="s">
        <v>527</v>
      </c>
      <c r="C135" s="115"/>
      <c r="D135" s="628"/>
      <c r="E135" s="115"/>
      <c r="F135" s="628"/>
      <c r="G135" s="628"/>
      <c r="H135" s="115"/>
      <c r="I135" s="628"/>
    </row>
    <row r="136" spans="1:10">
      <c r="A136" s="601">
        <f>A135+1</f>
        <v>92</v>
      </c>
      <c r="B136" s="76" t="str">
        <f>"Monetary Value (Ln "&amp;A134&amp;" * Ln "&amp;A135&amp;")"</f>
        <v>Monetary Value (Ln 90 * Ln 91)</v>
      </c>
      <c r="C136" s="331">
        <f t="shared" ref="C136:I136" si="38">C134*C135</f>
        <v>0</v>
      </c>
      <c r="D136" s="331"/>
      <c r="E136" s="331">
        <f t="shared" si="38"/>
        <v>0</v>
      </c>
      <c r="F136" s="331">
        <f t="shared" si="38"/>
        <v>0</v>
      </c>
      <c r="G136" s="331">
        <f t="shared" si="38"/>
        <v>0</v>
      </c>
      <c r="H136" s="331">
        <f t="shared" si="38"/>
        <v>0</v>
      </c>
      <c r="I136" s="331">
        <f t="shared" si="38"/>
        <v>0</v>
      </c>
      <c r="J136" s="608">
        <f>SUM(C136:I136)</f>
        <v>0</v>
      </c>
    </row>
    <row r="137" spans="1:10">
      <c r="A137" s="601">
        <f>A136+1</f>
        <v>93</v>
      </c>
      <c r="B137" s="76" t="str">
        <f>"Dividend Amount (Ln "&amp;A133&amp;" * Ln "&amp;A136&amp;")"</f>
        <v>Dividend Amount (Ln 89 * Ln 92)</v>
      </c>
      <c r="C137" s="331">
        <f t="shared" ref="C137:I137" si="39">C136*C133</f>
        <v>0</v>
      </c>
      <c r="D137" s="331"/>
      <c r="E137" s="331">
        <f t="shared" si="39"/>
        <v>0</v>
      </c>
      <c r="F137" s="331">
        <f t="shared" si="39"/>
        <v>0</v>
      </c>
      <c r="G137" s="331">
        <f t="shared" si="39"/>
        <v>0</v>
      </c>
      <c r="H137" s="331">
        <f t="shared" si="39"/>
        <v>0</v>
      </c>
      <c r="I137" s="331">
        <f t="shared" si="39"/>
        <v>0</v>
      </c>
      <c r="J137" s="608">
        <f>SUM(C137:I137)</f>
        <v>0</v>
      </c>
    </row>
    <row r="138" spans="1:10">
      <c r="B138" s="76"/>
    </row>
    <row r="139" spans="1:10">
      <c r="A139" s="601">
        <f>A137+1</f>
        <v>94</v>
      </c>
      <c r="B139" s="334" t="str">
        <f>"Preferred Stock (Lns "&amp;A118&amp;", "&amp;A124&amp;", "&amp;A130&amp;","&amp;A136&amp;")"</f>
        <v>Preferred Stock (Lns 77, 82, 87,92)</v>
      </c>
      <c r="C139" s="608">
        <f t="shared" ref="C139:I140" si="40">C118+C124+C130+C136</f>
        <v>0</v>
      </c>
      <c r="D139" s="608"/>
      <c r="E139" s="608">
        <f t="shared" si="40"/>
        <v>0</v>
      </c>
      <c r="F139" s="608">
        <f t="shared" si="40"/>
        <v>0</v>
      </c>
      <c r="G139" s="608">
        <f t="shared" si="40"/>
        <v>0</v>
      </c>
      <c r="H139" s="608">
        <f t="shared" si="40"/>
        <v>0</v>
      </c>
      <c r="I139" s="608">
        <f t="shared" si="40"/>
        <v>0</v>
      </c>
      <c r="J139" s="608">
        <f>SUM(C139:I139)</f>
        <v>0</v>
      </c>
    </row>
    <row r="140" spans="1:10">
      <c r="A140" s="601">
        <f>A139+1</f>
        <v>95</v>
      </c>
      <c r="B140" s="334" t="str">
        <f>"Preferred Dividends (Lns "&amp;A119&amp;", "&amp;A125&amp;", "&amp;A131&amp;","&amp;A137&amp;")"</f>
        <v>Preferred Dividends (Lns 78, 83, 88,93)</v>
      </c>
      <c r="C140" s="608">
        <f t="shared" si="40"/>
        <v>0</v>
      </c>
      <c r="D140" s="608"/>
      <c r="E140" s="608">
        <f t="shared" si="40"/>
        <v>0</v>
      </c>
      <c r="F140" s="608">
        <f t="shared" si="40"/>
        <v>0</v>
      </c>
      <c r="G140" s="608">
        <f t="shared" si="40"/>
        <v>0</v>
      </c>
      <c r="H140" s="608">
        <f t="shared" si="40"/>
        <v>0</v>
      </c>
      <c r="I140" s="608">
        <f t="shared" si="40"/>
        <v>0</v>
      </c>
      <c r="J140" s="608">
        <f>SUM(C140:I140)</f>
        <v>0</v>
      </c>
    </row>
    <row r="141" spans="1:10">
      <c r="B141" s="612"/>
    </row>
    <row r="142" spans="1:10" ht="15">
      <c r="A142" s="592" t="s">
        <v>528</v>
      </c>
    </row>
    <row r="143" spans="1:10">
      <c r="A143" s="601">
        <f>A140+1</f>
        <v>96</v>
      </c>
      <c r="B143" s="442" t="s">
        <v>529</v>
      </c>
      <c r="C143" s="115"/>
      <c r="D143" s="115"/>
      <c r="E143" s="115"/>
      <c r="F143" s="115"/>
      <c r="G143" s="115"/>
      <c r="H143" s="115"/>
      <c r="I143" s="115"/>
      <c r="J143" s="608">
        <f>SUM(C143:I143)</f>
        <v>0</v>
      </c>
    </row>
    <row r="144" spans="1:10">
      <c r="A144" s="601">
        <f>A143+1</f>
        <v>97</v>
      </c>
      <c r="B144" s="442" t="str">
        <f>"Less: Preferred Stock (Ln "&amp;A139&amp;" Above)"</f>
        <v>Less: Preferred Stock (Ln 94 Above)</v>
      </c>
      <c r="C144" s="332">
        <f>C139</f>
        <v>0</v>
      </c>
      <c r="D144" s="332"/>
      <c r="E144" s="332">
        <f>E139</f>
        <v>0</v>
      </c>
      <c r="F144" s="332">
        <f>F139</f>
        <v>0</v>
      </c>
      <c r="G144" s="332">
        <f>G139</f>
        <v>0</v>
      </c>
      <c r="H144" s="332">
        <f>H139</f>
        <v>0</v>
      </c>
      <c r="I144" s="332">
        <f>I139</f>
        <v>0</v>
      </c>
      <c r="J144" s="608">
        <f>SUM(C144:I144)</f>
        <v>0</v>
      </c>
    </row>
    <row r="145" spans="1:10">
      <c r="A145" s="601">
        <f>A144+1</f>
        <v>98</v>
      </c>
      <c r="B145" s="442" t="s">
        <v>530</v>
      </c>
      <c r="C145" s="593"/>
      <c r="D145" s="593"/>
      <c r="E145" s="593"/>
      <c r="F145" s="593"/>
      <c r="G145" s="593"/>
      <c r="H145" s="593"/>
      <c r="I145" s="593"/>
      <c r="J145" s="608">
        <f>SUM(C145:I145)</f>
        <v>0</v>
      </c>
    </row>
    <row r="146" spans="1:10">
      <c r="A146" s="601">
        <f>A145+1</f>
        <v>99</v>
      </c>
      <c r="B146" s="442" t="s">
        <v>531</v>
      </c>
      <c r="C146" s="116"/>
      <c r="D146" s="116"/>
      <c r="E146" s="116"/>
      <c r="F146" s="116"/>
      <c r="G146" s="116"/>
      <c r="H146" s="116"/>
      <c r="I146" s="116"/>
      <c r="J146" s="613">
        <f>SUM(C146:I146)</f>
        <v>0</v>
      </c>
    </row>
    <row r="147" spans="1:10">
      <c r="A147" s="601">
        <f>A146+1</f>
        <v>100</v>
      </c>
      <c r="B147" s="446" t="s">
        <v>532</v>
      </c>
      <c r="C147" s="580">
        <f t="shared" ref="C147:J147" si="41">C143-C144-C145-C146</f>
        <v>0</v>
      </c>
      <c r="D147" s="580"/>
      <c r="E147" s="580">
        <f t="shared" si="41"/>
        <v>0</v>
      </c>
      <c r="F147" s="580">
        <f t="shared" si="41"/>
        <v>0</v>
      </c>
      <c r="G147" s="580">
        <f t="shared" si="41"/>
        <v>0</v>
      </c>
      <c r="H147" s="580">
        <f t="shared" si="41"/>
        <v>0</v>
      </c>
      <c r="I147" s="580">
        <f t="shared" si="41"/>
        <v>0</v>
      </c>
      <c r="J147" s="580">
        <f t="shared" si="41"/>
        <v>0</v>
      </c>
    </row>
    <row r="149" spans="1:10" ht="15">
      <c r="A149" s="592" t="s">
        <v>533</v>
      </c>
    </row>
    <row r="150" spans="1:10">
      <c r="A150" s="601">
        <f>A147+1</f>
        <v>101</v>
      </c>
      <c r="B150" s="7" t="str">
        <f>"Long Term Debt (Ln "&amp;A101&amp;" Above)"</f>
        <v>Long Term Debt (Ln 65 Above)</v>
      </c>
      <c r="C150" s="608">
        <f t="shared" ref="C150:J150" si="42">C101</f>
        <v>0</v>
      </c>
      <c r="D150" s="608"/>
      <c r="E150" s="608">
        <f t="shared" si="42"/>
        <v>0</v>
      </c>
      <c r="F150" s="608">
        <f t="shared" si="42"/>
        <v>0</v>
      </c>
      <c r="G150" s="608">
        <f t="shared" si="42"/>
        <v>0</v>
      </c>
      <c r="H150" s="608">
        <f t="shared" si="42"/>
        <v>0</v>
      </c>
      <c r="I150" s="608">
        <f t="shared" si="42"/>
        <v>0</v>
      </c>
      <c r="J150" s="608">
        <f t="shared" si="42"/>
        <v>0</v>
      </c>
    </row>
    <row r="151" spans="1:10">
      <c r="A151" s="601">
        <f>A150+1</f>
        <v>102</v>
      </c>
      <c r="B151" s="7" t="str">
        <f>"Preferred Stock (Ln "&amp;A139&amp;" Above)"</f>
        <v>Preferred Stock (Ln 94 Above)</v>
      </c>
      <c r="C151" s="608">
        <f t="shared" ref="C151:J151" si="43">C139</f>
        <v>0</v>
      </c>
      <c r="D151" s="608"/>
      <c r="E151" s="608">
        <f t="shared" si="43"/>
        <v>0</v>
      </c>
      <c r="F151" s="608">
        <f t="shared" si="43"/>
        <v>0</v>
      </c>
      <c r="G151" s="608">
        <f t="shared" si="43"/>
        <v>0</v>
      </c>
      <c r="H151" s="608">
        <f t="shared" si="43"/>
        <v>0</v>
      </c>
      <c r="I151" s="608">
        <f t="shared" si="43"/>
        <v>0</v>
      </c>
      <c r="J151" s="608">
        <f t="shared" si="43"/>
        <v>0</v>
      </c>
    </row>
    <row r="152" spans="1:10">
      <c r="A152" s="601">
        <f>A151+1</f>
        <v>103</v>
      </c>
      <c r="B152" s="7" t="str">
        <f>"Common Equity (Ln "&amp;A147&amp;" Above)"</f>
        <v>Common Equity (Ln 100 Above)</v>
      </c>
      <c r="C152" s="613">
        <f t="shared" ref="C152:J152" si="44">C147</f>
        <v>0</v>
      </c>
      <c r="D152" s="613"/>
      <c r="E152" s="613">
        <f t="shared" si="44"/>
        <v>0</v>
      </c>
      <c r="F152" s="613">
        <f t="shared" si="44"/>
        <v>0</v>
      </c>
      <c r="G152" s="613">
        <f t="shared" si="44"/>
        <v>0</v>
      </c>
      <c r="H152" s="613">
        <f t="shared" si="44"/>
        <v>0</v>
      </c>
      <c r="I152" s="613">
        <f t="shared" si="44"/>
        <v>0</v>
      </c>
      <c r="J152" s="613">
        <f t="shared" si="44"/>
        <v>0</v>
      </c>
    </row>
    <row r="153" spans="1:10">
      <c r="A153" s="601">
        <f>A152+1</f>
        <v>104</v>
      </c>
      <c r="B153" s="601" t="s">
        <v>534</v>
      </c>
      <c r="C153" s="608">
        <f t="shared" ref="C153:J153" si="45">SUM(C150:C152)</f>
        <v>0</v>
      </c>
      <c r="D153" s="608"/>
      <c r="E153" s="608">
        <f t="shared" si="45"/>
        <v>0</v>
      </c>
      <c r="F153" s="608">
        <f t="shared" si="45"/>
        <v>0</v>
      </c>
      <c r="G153" s="608">
        <f t="shared" si="45"/>
        <v>0</v>
      </c>
      <c r="H153" s="608">
        <f t="shared" si="45"/>
        <v>0</v>
      </c>
      <c r="I153" s="608">
        <f t="shared" si="45"/>
        <v>0</v>
      </c>
      <c r="J153" s="608">
        <f t="shared" si="45"/>
        <v>0</v>
      </c>
    </row>
    <row r="155" spans="1:10">
      <c r="A155" s="601">
        <f>A153+1</f>
        <v>105</v>
      </c>
      <c r="B155" s="7" t="str">
        <f>"LTD Capital Shares (Ln "&amp;A150&amp;" / Ln "&amp;A153&amp;")"</f>
        <v>LTD Capital Shares (Ln 101 / Ln 104)</v>
      </c>
      <c r="C155" s="614" t="e">
        <f t="shared" ref="C155:J155" si="46">C150/C153</f>
        <v>#DIV/0!</v>
      </c>
      <c r="D155" s="614"/>
      <c r="E155" s="614" t="e">
        <f t="shared" si="46"/>
        <v>#DIV/0!</v>
      </c>
      <c r="F155" s="614" t="e">
        <f t="shared" si="46"/>
        <v>#DIV/0!</v>
      </c>
      <c r="G155" s="614" t="e">
        <f t="shared" si="46"/>
        <v>#DIV/0!</v>
      </c>
      <c r="H155" s="614" t="e">
        <f t="shared" si="46"/>
        <v>#DIV/0!</v>
      </c>
      <c r="I155" s="614" t="e">
        <f t="shared" si="46"/>
        <v>#DIV/0!</v>
      </c>
      <c r="J155" s="614" t="e">
        <f t="shared" si="46"/>
        <v>#DIV/0!</v>
      </c>
    </row>
    <row r="156" spans="1:10">
      <c r="A156" s="601">
        <f>A155+1</f>
        <v>106</v>
      </c>
      <c r="B156" s="7" t="str">
        <f>"Preferred Stock Capital Shares (Ln "&amp;A151&amp;" / Ln "&amp;A153&amp;")"</f>
        <v>Preferred Stock Capital Shares (Ln 102 / Ln 104)</v>
      </c>
      <c r="C156" s="614" t="e">
        <f t="shared" ref="C156:J156" si="47">C151/C153</f>
        <v>#DIV/0!</v>
      </c>
      <c r="D156" s="614"/>
      <c r="E156" s="614" t="e">
        <f t="shared" si="47"/>
        <v>#DIV/0!</v>
      </c>
      <c r="F156" s="614" t="e">
        <f t="shared" si="47"/>
        <v>#DIV/0!</v>
      </c>
      <c r="G156" s="614" t="e">
        <f t="shared" si="47"/>
        <v>#DIV/0!</v>
      </c>
      <c r="H156" s="614" t="e">
        <f t="shared" si="47"/>
        <v>#DIV/0!</v>
      </c>
      <c r="I156" s="614" t="e">
        <f t="shared" si="47"/>
        <v>#DIV/0!</v>
      </c>
      <c r="J156" s="614" t="e">
        <f t="shared" si="47"/>
        <v>#DIV/0!</v>
      </c>
    </row>
    <row r="157" spans="1:10">
      <c r="A157" s="601">
        <f>A156+1</f>
        <v>107</v>
      </c>
      <c r="B157" s="7" t="str">
        <f>"Common Equity Capital Shares (Ln "&amp;A152&amp;" / Ln "&amp;A153&amp;")"</f>
        <v>Common Equity Capital Shares (Ln 103 / Ln 104)</v>
      </c>
      <c r="C157" s="615" t="e">
        <f t="shared" ref="C157:J157" si="48">C152/C153</f>
        <v>#DIV/0!</v>
      </c>
      <c r="D157" s="615"/>
      <c r="E157" s="615" t="e">
        <f t="shared" si="48"/>
        <v>#DIV/0!</v>
      </c>
      <c r="F157" s="615" t="e">
        <f t="shared" si="48"/>
        <v>#DIV/0!</v>
      </c>
      <c r="G157" s="615" t="e">
        <f t="shared" si="48"/>
        <v>#DIV/0!</v>
      </c>
      <c r="H157" s="615" t="e">
        <f t="shared" si="48"/>
        <v>#DIV/0!</v>
      </c>
      <c r="I157" s="615" t="e">
        <f t="shared" si="48"/>
        <v>#DIV/0!</v>
      </c>
      <c r="J157" s="615" t="e">
        <f t="shared" si="48"/>
        <v>#DIV/0!</v>
      </c>
    </row>
    <row r="158" spans="1:10">
      <c r="B158" s="7"/>
      <c r="C158" s="615"/>
      <c r="D158" s="615"/>
      <c r="E158" s="615"/>
      <c r="F158" s="615"/>
      <c r="G158" s="615"/>
      <c r="H158" s="615"/>
      <c r="I158" s="615"/>
      <c r="J158" s="615"/>
    </row>
    <row r="159" spans="1:10">
      <c r="A159" s="601">
        <f>A157+1</f>
        <v>108</v>
      </c>
      <c r="B159" s="334" t="s">
        <v>564</v>
      </c>
      <c r="C159" s="616"/>
      <c r="D159" s="616"/>
      <c r="E159" s="616"/>
      <c r="F159" s="616"/>
      <c r="G159" s="616"/>
      <c r="H159" s="616"/>
      <c r="I159" s="616"/>
      <c r="J159" s="616"/>
    </row>
    <row r="160" spans="1:10">
      <c r="B160" s="7"/>
      <c r="C160" s="615"/>
      <c r="D160" s="615"/>
      <c r="E160" s="615"/>
      <c r="F160" s="615"/>
      <c r="G160" s="615"/>
      <c r="H160" s="615"/>
      <c r="I160" s="615"/>
      <c r="J160" s="615"/>
    </row>
    <row r="161" spans="1:10">
      <c r="A161" s="601">
        <f>A159+1</f>
        <v>109</v>
      </c>
      <c r="B161" s="334" t="s">
        <v>564</v>
      </c>
      <c r="C161" s="615"/>
      <c r="D161" s="615"/>
      <c r="E161" s="615"/>
      <c r="F161" s="615"/>
      <c r="G161" s="615"/>
      <c r="H161" s="615"/>
      <c r="I161" s="615"/>
      <c r="J161" s="615"/>
    </row>
    <row r="162" spans="1:10">
      <c r="A162" s="601">
        <f>A161+1</f>
        <v>110</v>
      </c>
      <c r="B162" s="334" t="s">
        <v>564</v>
      </c>
      <c r="C162" s="615"/>
      <c r="D162" s="615"/>
      <c r="E162" s="615"/>
      <c r="F162" s="615"/>
      <c r="G162" s="615"/>
      <c r="H162" s="615"/>
      <c r="I162" s="615"/>
      <c r="J162" s="615"/>
    </row>
    <row r="163" spans="1:10">
      <c r="A163" s="601">
        <f>A162+1</f>
        <v>111</v>
      </c>
      <c r="B163" s="334" t="s">
        <v>564</v>
      </c>
      <c r="C163" s="615"/>
      <c r="D163" s="615"/>
      <c r="E163" s="615"/>
      <c r="F163" s="615"/>
      <c r="G163" s="615"/>
      <c r="H163" s="615"/>
      <c r="I163" s="615"/>
      <c r="J163" s="615"/>
    </row>
    <row r="164" spans="1:10">
      <c r="B164" s="7"/>
      <c r="C164" s="614"/>
      <c r="D164" s="614"/>
      <c r="E164" s="614"/>
      <c r="F164" s="614"/>
      <c r="G164" s="614"/>
      <c r="H164" s="614"/>
      <c r="I164" s="614"/>
      <c r="J164" s="614"/>
    </row>
    <row r="165" spans="1:10" ht="15">
      <c r="A165" s="592" t="s">
        <v>535</v>
      </c>
    </row>
    <row r="166" spans="1:10">
      <c r="A166" s="601">
        <f>A163+1</f>
        <v>112</v>
      </c>
      <c r="B166" s="7" t="str">
        <f>"LTD Capital Cost Rate (Ln "&amp;A112&amp;" / Ln "&amp;A101&amp;")"</f>
        <v>LTD Capital Cost Rate (Ln 73 / Ln 65)</v>
      </c>
      <c r="C166" s="614" t="e">
        <f t="shared" ref="C166:J166" si="49">C112/C101</f>
        <v>#DIV/0!</v>
      </c>
      <c r="D166" s="614"/>
      <c r="E166" s="614" t="e">
        <f t="shared" si="49"/>
        <v>#DIV/0!</v>
      </c>
      <c r="F166" s="614" t="e">
        <f t="shared" si="49"/>
        <v>#DIV/0!</v>
      </c>
      <c r="G166" s="614" t="e">
        <f t="shared" si="49"/>
        <v>#DIV/0!</v>
      </c>
      <c r="H166" s="614" t="e">
        <f t="shared" si="49"/>
        <v>#DIV/0!</v>
      </c>
      <c r="I166" s="614" t="e">
        <f t="shared" si="49"/>
        <v>#DIV/0!</v>
      </c>
      <c r="J166" s="614" t="e">
        <f t="shared" si="49"/>
        <v>#DIV/0!</v>
      </c>
    </row>
    <row r="167" spans="1:10">
      <c r="A167" s="601">
        <f>A166+1</f>
        <v>113</v>
      </c>
      <c r="B167" s="7" t="str">
        <f>"Preferred Stock Capital Cost Rate (Ln "&amp;A140&amp;" / Ln "&amp;A139&amp;")"</f>
        <v>Preferred Stock Capital Cost Rate (Ln 95 / Ln 94)</v>
      </c>
      <c r="C167" s="614">
        <f t="shared" ref="C167:J167" si="50">IF(C139=0,0,C140/C139)</f>
        <v>0</v>
      </c>
      <c r="D167" s="614"/>
      <c r="E167" s="614">
        <f t="shared" si="50"/>
        <v>0</v>
      </c>
      <c r="F167" s="614">
        <f t="shared" si="50"/>
        <v>0</v>
      </c>
      <c r="G167" s="614">
        <f t="shared" si="50"/>
        <v>0</v>
      </c>
      <c r="H167" s="614">
        <f t="shared" si="50"/>
        <v>0</v>
      </c>
      <c r="I167" s="614">
        <f t="shared" si="50"/>
        <v>0</v>
      </c>
      <c r="J167" s="614">
        <f t="shared" si="50"/>
        <v>0</v>
      </c>
    </row>
    <row r="168" spans="1:10">
      <c r="A168" s="601">
        <f>A167+1</f>
        <v>114</v>
      </c>
      <c r="B168" s="7" t="s">
        <v>536</v>
      </c>
      <c r="C168" s="614">
        <v>0.1149</v>
      </c>
      <c r="D168" s="614"/>
      <c r="E168" s="614">
        <v>0.1149</v>
      </c>
      <c r="F168" s="614">
        <v>0.1149</v>
      </c>
      <c r="G168" s="614">
        <v>0.1149</v>
      </c>
      <c r="H168" s="614">
        <v>0.1149</v>
      </c>
      <c r="I168" s="614">
        <v>0.1149</v>
      </c>
      <c r="J168" s="614">
        <v>0.1149</v>
      </c>
    </row>
    <row r="170" spans="1:10" ht="15">
      <c r="A170" s="592" t="s">
        <v>537</v>
      </c>
    </row>
    <row r="171" spans="1:10">
      <c r="A171" s="601">
        <f>A168+1</f>
        <v>115</v>
      </c>
      <c r="B171" s="7" t="str">
        <f>"LTD Weighted Capital Cost Rate (Ln "&amp;A155&amp;" * Ln "&amp;A166&amp;")"</f>
        <v>LTD Weighted Capital Cost Rate (Ln 105 * Ln 112)</v>
      </c>
      <c r="C171" s="614" t="e">
        <f>C155*C166</f>
        <v>#DIV/0!</v>
      </c>
      <c r="D171" s="614"/>
      <c r="E171" s="614" t="e">
        <f t="shared" ref="E171:J171" si="51">E155*E166</f>
        <v>#DIV/0!</v>
      </c>
      <c r="F171" s="614" t="e">
        <f t="shared" si="51"/>
        <v>#DIV/0!</v>
      </c>
      <c r="G171" s="614" t="e">
        <f t="shared" si="51"/>
        <v>#DIV/0!</v>
      </c>
      <c r="H171" s="614" t="e">
        <f t="shared" si="51"/>
        <v>#DIV/0!</v>
      </c>
      <c r="I171" s="614" t="e">
        <f t="shared" si="51"/>
        <v>#DIV/0!</v>
      </c>
      <c r="J171" s="614" t="e">
        <f t="shared" si="51"/>
        <v>#DIV/0!</v>
      </c>
    </row>
    <row r="172" spans="1:10">
      <c r="A172" s="601">
        <f>A171+1</f>
        <v>116</v>
      </c>
      <c r="B172" s="7" t="str">
        <f>"Preferred Stock Capital Cost Rate (Ln "&amp;A156&amp;" * Ln "&amp;A167&amp;")"</f>
        <v>Preferred Stock Capital Cost Rate (Ln 106 * Ln 113)</v>
      </c>
      <c r="C172" s="614" t="e">
        <f>C156*C167</f>
        <v>#DIV/0!</v>
      </c>
      <c r="D172" s="614"/>
      <c r="E172" s="614" t="e">
        <f t="shared" ref="E172:J172" si="52">E156*E167</f>
        <v>#DIV/0!</v>
      </c>
      <c r="F172" s="614" t="e">
        <f t="shared" si="52"/>
        <v>#DIV/0!</v>
      </c>
      <c r="G172" s="614" t="e">
        <f t="shared" si="52"/>
        <v>#DIV/0!</v>
      </c>
      <c r="H172" s="614" t="e">
        <f t="shared" si="52"/>
        <v>#DIV/0!</v>
      </c>
      <c r="I172" s="614" t="e">
        <f t="shared" si="52"/>
        <v>#DIV/0!</v>
      </c>
      <c r="J172" s="614" t="e">
        <f t="shared" si="52"/>
        <v>#DIV/0!</v>
      </c>
    </row>
    <row r="173" spans="1:10">
      <c r="A173" s="601">
        <f>A172+1</f>
        <v>117</v>
      </c>
      <c r="B173" s="7" t="str">
        <f>"Common Equity Capital Cost Rate (Ln "&amp;A157&amp;" * Ln "&amp;A168&amp;")"</f>
        <v>Common Equity Capital Cost Rate (Ln 107 * Ln 114)</v>
      </c>
      <c r="C173" s="617" t="e">
        <f>C157*C168</f>
        <v>#DIV/0!</v>
      </c>
      <c r="D173" s="617"/>
      <c r="E173" s="617" t="e">
        <f t="shared" ref="E173:J173" si="53">E157*E168</f>
        <v>#DIV/0!</v>
      </c>
      <c r="F173" s="617" t="e">
        <f t="shared" si="53"/>
        <v>#DIV/0!</v>
      </c>
      <c r="G173" s="617" t="e">
        <f t="shared" si="53"/>
        <v>#DIV/0!</v>
      </c>
      <c r="H173" s="617" t="e">
        <f t="shared" si="53"/>
        <v>#DIV/0!</v>
      </c>
      <c r="I173" s="617" t="e">
        <f t="shared" si="53"/>
        <v>#DIV/0!</v>
      </c>
      <c r="J173" s="617" t="e">
        <f t="shared" si="53"/>
        <v>#DIV/0!</v>
      </c>
    </row>
    <row r="174" spans="1:10">
      <c r="A174" s="601">
        <f>A173+1</f>
        <v>118</v>
      </c>
      <c r="B174" s="607" t="s">
        <v>534</v>
      </c>
      <c r="C174" s="618" t="e">
        <f t="shared" ref="C174:J174" si="54">SUM(C171:C173)</f>
        <v>#DIV/0!</v>
      </c>
      <c r="D174" s="618"/>
      <c r="E174" s="618" t="e">
        <f t="shared" si="54"/>
        <v>#DIV/0!</v>
      </c>
      <c r="F174" s="618" t="e">
        <f t="shared" si="54"/>
        <v>#DIV/0!</v>
      </c>
      <c r="G174" s="618" t="e">
        <f t="shared" si="54"/>
        <v>#DIV/0!</v>
      </c>
      <c r="H174" s="618" t="e">
        <f t="shared" si="54"/>
        <v>#DIV/0!</v>
      </c>
      <c r="I174" s="618" t="e">
        <f t="shared" si="54"/>
        <v>#DIV/0!</v>
      </c>
      <c r="J174" s="618" t="e">
        <f t="shared" si="54"/>
        <v>#DIV/0!</v>
      </c>
    </row>
    <row r="177" spans="1:10">
      <c r="A177" s="1221" t="s">
        <v>513</v>
      </c>
      <c r="B177" s="1221"/>
      <c r="C177" s="1221"/>
      <c r="D177" s="1221"/>
      <c r="E177" s="1221"/>
      <c r="F177" s="1221"/>
      <c r="G177" s="1221"/>
      <c r="H177" s="1221"/>
      <c r="I177" s="1221"/>
      <c r="J177" s="1221"/>
    </row>
    <row r="178" spans="1:10">
      <c r="A178" s="1221" t="s">
        <v>538</v>
      </c>
      <c r="B178" s="1221"/>
      <c r="C178" s="1221"/>
      <c r="D178" s="1221"/>
      <c r="E178" s="1221"/>
      <c r="F178" s="1221"/>
      <c r="G178" s="1221"/>
      <c r="H178" s="1221"/>
      <c r="I178" s="1221"/>
      <c r="J178" s="1221"/>
    </row>
    <row r="179" spans="1:10">
      <c r="A179" s="1221" t="s">
        <v>258</v>
      </c>
      <c r="B179" s="1221"/>
      <c r="C179" s="1221"/>
      <c r="D179" s="1221"/>
      <c r="E179" s="1221"/>
      <c r="F179" s="1221"/>
      <c r="G179" s="1221"/>
      <c r="H179" s="1221"/>
      <c r="I179" s="1221"/>
      <c r="J179" s="1221"/>
    </row>
    <row r="181" spans="1:10" ht="76.5">
      <c r="A181" s="601" t="s">
        <v>467</v>
      </c>
      <c r="C181" s="602" t="s">
        <v>514</v>
      </c>
      <c r="D181" s="602"/>
      <c r="E181" s="602" t="s">
        <v>515</v>
      </c>
      <c r="F181" s="602" t="s">
        <v>516</v>
      </c>
      <c r="G181" s="602" t="s">
        <v>517</v>
      </c>
      <c r="H181" s="602" t="s">
        <v>518</v>
      </c>
      <c r="I181" s="602" t="s">
        <v>519</v>
      </c>
      <c r="J181" s="602" t="s">
        <v>520</v>
      </c>
    </row>
    <row r="182" spans="1:10" ht="15">
      <c r="A182" s="592" t="s">
        <v>539</v>
      </c>
    </row>
    <row r="183" spans="1:10">
      <c r="A183" s="601">
        <f>A174+1</f>
        <v>119</v>
      </c>
      <c r="B183" s="75" t="str">
        <f>"Average Bonds (Ln "&amp;A9&amp;" + Ln "&amp;A96&amp;") / 2"</f>
        <v>Average Bonds (Ln 1 + Ln 60) / 2</v>
      </c>
      <c r="C183" s="580" t="e">
        <f t="shared" ref="C183:I187" si="55">AVERAGE(C9,C96)</f>
        <v>#DIV/0!</v>
      </c>
      <c r="D183" s="580"/>
      <c r="E183" s="580" t="e">
        <f t="shared" si="55"/>
        <v>#DIV/0!</v>
      </c>
      <c r="F183" s="580" t="e">
        <f t="shared" si="55"/>
        <v>#DIV/0!</v>
      </c>
      <c r="G183" s="580" t="e">
        <f t="shared" si="55"/>
        <v>#DIV/0!</v>
      </c>
      <c r="H183" s="580" t="e">
        <f t="shared" si="55"/>
        <v>#DIV/0!</v>
      </c>
      <c r="I183" s="580" t="e">
        <f t="shared" si="55"/>
        <v>#DIV/0!</v>
      </c>
      <c r="J183" s="580" t="e">
        <f>SUM(C183:I183)</f>
        <v>#DIV/0!</v>
      </c>
    </row>
    <row r="184" spans="1:10">
      <c r="A184" s="601">
        <f>A183+1</f>
        <v>120</v>
      </c>
      <c r="B184" s="75" t="str">
        <f>"Less: Average Reacquired Bonds (Ln "&amp;A10&amp;" + Ln "&amp;A97&amp;") / 2"</f>
        <v>Less: Average Reacquired Bonds (Ln 2 + Ln 61) / 2</v>
      </c>
      <c r="C184" s="580" t="e">
        <f t="shared" si="55"/>
        <v>#DIV/0!</v>
      </c>
      <c r="D184" s="580"/>
      <c r="E184" s="580" t="e">
        <f t="shared" si="55"/>
        <v>#DIV/0!</v>
      </c>
      <c r="F184" s="580" t="e">
        <f t="shared" si="55"/>
        <v>#DIV/0!</v>
      </c>
      <c r="G184" s="580" t="e">
        <f t="shared" si="55"/>
        <v>#DIV/0!</v>
      </c>
      <c r="H184" s="580" t="e">
        <f t="shared" si="55"/>
        <v>#DIV/0!</v>
      </c>
      <c r="I184" s="580" t="e">
        <f t="shared" si="55"/>
        <v>#DIV/0!</v>
      </c>
      <c r="J184" s="580" t="e">
        <f>SUM(C184:I184)</f>
        <v>#DIV/0!</v>
      </c>
    </row>
    <row r="185" spans="1:10">
      <c r="A185" s="601">
        <f>A184+1</f>
        <v>121</v>
      </c>
      <c r="B185" s="14" t="str">
        <f>"Average LT Advances from Assoc. Companies (Ln "&amp;A11&amp;" + Ln "&amp;A98&amp;") / 2"</f>
        <v>Average LT Advances from Assoc. Companies (Ln 3 + Ln 62) / 2</v>
      </c>
      <c r="C185" s="580" t="e">
        <f t="shared" si="55"/>
        <v>#DIV/0!</v>
      </c>
      <c r="D185" s="580"/>
      <c r="E185" s="580" t="e">
        <f t="shared" si="55"/>
        <v>#DIV/0!</v>
      </c>
      <c r="F185" s="580" t="e">
        <f t="shared" si="55"/>
        <v>#DIV/0!</v>
      </c>
      <c r="G185" s="580" t="e">
        <f t="shared" si="55"/>
        <v>#DIV/0!</v>
      </c>
      <c r="H185" s="580" t="e">
        <f t="shared" si="55"/>
        <v>#DIV/0!</v>
      </c>
      <c r="I185" s="580" t="e">
        <f t="shared" si="55"/>
        <v>#DIV/0!</v>
      </c>
      <c r="J185" s="580" t="e">
        <f>SUM(C185:I185)</f>
        <v>#DIV/0!</v>
      </c>
    </row>
    <row r="186" spans="1:10">
      <c r="A186" s="601">
        <f>A185+1</f>
        <v>122</v>
      </c>
      <c r="B186" s="14" t="str">
        <f>"Average Senior Unsecured Notes (Ln "&amp;A12&amp;" + Ln "&amp;A99&amp;") / 2"</f>
        <v>Average Senior Unsecured Notes (Ln 4 + Ln 63) / 2</v>
      </c>
      <c r="C186" s="580" t="e">
        <f t="shared" si="55"/>
        <v>#DIV/0!</v>
      </c>
      <c r="D186" s="580"/>
      <c r="E186" s="580" t="e">
        <f t="shared" si="55"/>
        <v>#DIV/0!</v>
      </c>
      <c r="F186" s="580" t="e">
        <f t="shared" si="55"/>
        <v>#DIV/0!</v>
      </c>
      <c r="G186" s="580" t="e">
        <f t="shared" si="55"/>
        <v>#DIV/0!</v>
      </c>
      <c r="H186" s="580" t="e">
        <f t="shared" si="55"/>
        <v>#DIV/0!</v>
      </c>
      <c r="I186" s="580" t="e">
        <f t="shared" si="55"/>
        <v>#DIV/0!</v>
      </c>
      <c r="J186" s="580" t="e">
        <f>SUM(C186:I186)</f>
        <v>#DIV/0!</v>
      </c>
    </row>
    <row r="187" spans="1:10">
      <c r="A187" s="601">
        <f>A186+1</f>
        <v>123</v>
      </c>
      <c r="B187" s="14" t="str">
        <f>"Less: Average Fair Value Hedges (See Note on Ln "&amp;A190&amp;" below)"</f>
        <v>Less: Average Fair Value Hedges (See Note on Ln 125 below)</v>
      </c>
      <c r="C187" s="619" t="e">
        <f t="shared" si="55"/>
        <v>#DIV/0!</v>
      </c>
      <c r="D187" s="619"/>
      <c r="E187" s="619" t="e">
        <f t="shared" si="55"/>
        <v>#DIV/0!</v>
      </c>
      <c r="F187" s="619" t="e">
        <f t="shared" si="55"/>
        <v>#DIV/0!</v>
      </c>
      <c r="G187" s="619" t="e">
        <f t="shared" si="55"/>
        <v>#DIV/0!</v>
      </c>
      <c r="H187" s="619" t="e">
        <f t="shared" si="55"/>
        <v>#DIV/0!</v>
      </c>
      <c r="I187" s="619" t="e">
        <f t="shared" si="55"/>
        <v>#DIV/0!</v>
      </c>
      <c r="J187" s="603" t="e">
        <f>SUM(C187:I187)</f>
        <v>#DIV/0!</v>
      </c>
    </row>
    <row r="188" spans="1:10">
      <c r="A188" s="601">
        <f>A187+1</f>
        <v>124</v>
      </c>
      <c r="B188" s="13" t="s">
        <v>540</v>
      </c>
      <c r="C188" s="604" t="e">
        <f t="shared" ref="C188:J188" si="56">C183-C184+C185+C186-C187</f>
        <v>#DIV/0!</v>
      </c>
      <c r="D188" s="604"/>
      <c r="E188" s="604" t="e">
        <f t="shared" si="56"/>
        <v>#DIV/0!</v>
      </c>
      <c r="F188" s="604" t="e">
        <f t="shared" si="56"/>
        <v>#DIV/0!</v>
      </c>
      <c r="G188" s="604" t="e">
        <f t="shared" si="56"/>
        <v>#DIV/0!</v>
      </c>
      <c r="H188" s="604" t="e">
        <f t="shared" si="56"/>
        <v>#DIV/0!</v>
      </c>
      <c r="I188" s="604" t="e">
        <f t="shared" si="56"/>
        <v>#DIV/0!</v>
      </c>
      <c r="J188" s="604" t="e">
        <f t="shared" si="56"/>
        <v>#DIV/0!</v>
      </c>
    </row>
    <row r="190" spans="1:10">
      <c r="A190" s="601">
        <f>A188+1</f>
        <v>125</v>
      </c>
      <c r="B190" s="1222" t="s">
        <v>65</v>
      </c>
      <c r="C190" s="1222"/>
      <c r="D190" s="1222"/>
      <c r="E190" s="1222"/>
      <c r="F190" s="1222"/>
      <c r="G190" s="1222"/>
      <c r="H190" s="1222"/>
      <c r="I190" s="1222"/>
      <c r="J190" s="1222"/>
    </row>
    <row r="191" spans="1:10">
      <c r="A191" s="620"/>
      <c r="B191" s="605"/>
      <c r="C191" s="605"/>
      <c r="D191" s="605"/>
      <c r="E191" s="605"/>
      <c r="F191" s="605"/>
      <c r="G191" s="605"/>
      <c r="H191" s="605"/>
      <c r="I191" s="605"/>
      <c r="J191" s="605"/>
    </row>
    <row r="192" spans="1:10" ht="15">
      <c r="A192" s="592" t="str">
        <f>"Development of "&amp;TCOS!N3&amp;" Long Term Debt Interest Expense"</f>
        <v>Development of   Long Term Debt Interest Expense</v>
      </c>
    </row>
    <row r="193" spans="1:10">
      <c r="A193" s="601">
        <f>A190+1</f>
        <v>126</v>
      </c>
      <c r="B193" s="14" t="str">
        <f t="shared" ref="B193:I193" si="57">B19</f>
        <v>Interest on Long Term Debt (256-257.33.i)</v>
      </c>
      <c r="C193" s="332">
        <f t="shared" si="57"/>
        <v>0</v>
      </c>
      <c r="D193" s="332"/>
      <c r="E193" s="332">
        <f t="shared" si="57"/>
        <v>0</v>
      </c>
      <c r="F193" s="332">
        <f t="shared" si="57"/>
        <v>0</v>
      </c>
      <c r="G193" s="332">
        <f t="shared" si="57"/>
        <v>0</v>
      </c>
      <c r="H193" s="332">
        <f t="shared" si="57"/>
        <v>0</v>
      </c>
      <c r="I193" s="332">
        <f t="shared" si="57"/>
        <v>0</v>
      </c>
      <c r="J193" s="332">
        <f t="shared" ref="J193:J198" si="58">SUM(C193:I193)</f>
        <v>0</v>
      </c>
    </row>
    <row r="194" spans="1:10">
      <c r="A194" s="601">
        <f t="shared" ref="A194:A199" si="59">A193+1</f>
        <v>127</v>
      </c>
      <c r="B194" s="14" t="str">
        <f t="shared" ref="B194:C198" si="60">B20</f>
        <v>Amort of Debt Discount &amp; Expense (117.63.c)</v>
      </c>
      <c r="C194" s="332">
        <f>C20</f>
        <v>0</v>
      </c>
      <c r="D194" s="332"/>
      <c r="E194" s="332">
        <f t="shared" ref="E194:I195" si="61">E20</f>
        <v>0</v>
      </c>
      <c r="F194" s="332">
        <f t="shared" si="61"/>
        <v>0</v>
      </c>
      <c r="G194" s="332">
        <f t="shared" si="61"/>
        <v>0</v>
      </c>
      <c r="H194" s="332">
        <f t="shared" si="61"/>
        <v>0</v>
      </c>
      <c r="I194" s="332">
        <f t="shared" si="61"/>
        <v>0</v>
      </c>
      <c r="J194" s="332">
        <f t="shared" si="58"/>
        <v>0</v>
      </c>
    </row>
    <row r="195" spans="1:10">
      <c r="A195" s="601">
        <f t="shared" si="59"/>
        <v>128</v>
      </c>
      <c r="B195" s="14" t="str">
        <f t="shared" si="60"/>
        <v>Amort of Loss on Reacquired Debt (117.64.c)</v>
      </c>
      <c r="C195" s="332">
        <f t="shared" si="60"/>
        <v>0</v>
      </c>
      <c r="D195" s="332"/>
      <c r="E195" s="332">
        <f t="shared" si="61"/>
        <v>0</v>
      </c>
      <c r="F195" s="332">
        <f t="shared" si="61"/>
        <v>0</v>
      </c>
      <c r="G195" s="332">
        <f t="shared" si="61"/>
        <v>0</v>
      </c>
      <c r="H195" s="332">
        <f t="shared" si="61"/>
        <v>0</v>
      </c>
      <c r="I195" s="332">
        <f t="shared" si="61"/>
        <v>0</v>
      </c>
      <c r="J195" s="332">
        <f t="shared" si="58"/>
        <v>0</v>
      </c>
    </row>
    <row r="196" spans="1:10">
      <c r="A196" s="601">
        <f t="shared" si="59"/>
        <v>129</v>
      </c>
      <c r="B196" s="14" t="str">
        <f>B22</f>
        <v>Less: Amort of Premium on Debt (117.65.c)</v>
      </c>
      <c r="C196" s="332">
        <f t="shared" ref="C196:I196" si="62">C22</f>
        <v>0</v>
      </c>
      <c r="D196" s="332"/>
      <c r="E196" s="332">
        <f t="shared" si="62"/>
        <v>0</v>
      </c>
      <c r="F196" s="332">
        <f t="shared" si="62"/>
        <v>0</v>
      </c>
      <c r="G196" s="332">
        <f t="shared" si="62"/>
        <v>0</v>
      </c>
      <c r="H196" s="332">
        <f t="shared" si="62"/>
        <v>0</v>
      </c>
      <c r="I196" s="332">
        <f t="shared" si="62"/>
        <v>0</v>
      </c>
      <c r="J196" s="580">
        <f t="shared" si="58"/>
        <v>0</v>
      </c>
    </row>
    <row r="197" spans="1:10">
      <c r="A197" s="601">
        <f t="shared" si="59"/>
        <v>130</v>
      </c>
      <c r="B197" s="14" t="str">
        <f t="shared" si="60"/>
        <v>Less: Amort of Gain on Reacquired Debt (117.66.c)</v>
      </c>
      <c r="C197" s="332">
        <f>C23</f>
        <v>0</v>
      </c>
      <c r="D197" s="332"/>
      <c r="E197" s="332">
        <f t="shared" ref="E197:I198" si="63">E23</f>
        <v>0</v>
      </c>
      <c r="F197" s="332">
        <f t="shared" si="63"/>
        <v>0</v>
      </c>
      <c r="G197" s="332">
        <f t="shared" si="63"/>
        <v>0</v>
      </c>
      <c r="H197" s="332">
        <f t="shared" si="63"/>
        <v>0</v>
      </c>
      <c r="I197" s="332">
        <f t="shared" si="63"/>
        <v>0</v>
      </c>
      <c r="J197" s="580">
        <f t="shared" si="58"/>
        <v>0</v>
      </c>
    </row>
    <row r="198" spans="1:10">
      <c r="A198" s="601">
        <f t="shared" si="59"/>
        <v>131</v>
      </c>
      <c r="B198" s="14" t="str">
        <f t="shared" si="60"/>
        <v>Less: Hedge Interest on pp 256-257(i)</v>
      </c>
      <c r="C198" s="619">
        <f>C24</f>
        <v>0</v>
      </c>
      <c r="D198" s="619"/>
      <c r="E198" s="619">
        <f t="shared" si="63"/>
        <v>0</v>
      </c>
      <c r="F198" s="619">
        <f t="shared" si="63"/>
        <v>0</v>
      </c>
      <c r="G198" s="619">
        <f t="shared" si="63"/>
        <v>0</v>
      </c>
      <c r="H198" s="619">
        <f t="shared" si="63"/>
        <v>0</v>
      </c>
      <c r="I198" s="619">
        <f t="shared" si="63"/>
        <v>0</v>
      </c>
      <c r="J198" s="603">
        <f t="shared" si="58"/>
        <v>0</v>
      </c>
    </row>
    <row r="199" spans="1:10">
      <c r="A199" s="601">
        <f t="shared" si="59"/>
        <v>132</v>
      </c>
      <c r="B199" s="621" t="str">
        <f>""&amp;TCOS!N3&amp;" LTD Interest Expense"</f>
        <v xml:space="preserve">  LTD Interest Expense</v>
      </c>
      <c r="C199" s="608">
        <f t="shared" ref="C199:J199" si="64">C193+C194+C195-C196-C197-C198</f>
        <v>0</v>
      </c>
      <c r="D199" s="608"/>
      <c r="E199" s="608">
        <f t="shared" si="64"/>
        <v>0</v>
      </c>
      <c r="F199" s="608">
        <f t="shared" si="64"/>
        <v>0</v>
      </c>
      <c r="G199" s="608">
        <f t="shared" si="64"/>
        <v>0</v>
      </c>
      <c r="H199" s="608">
        <f t="shared" si="64"/>
        <v>0</v>
      </c>
      <c r="I199" s="608">
        <f t="shared" si="64"/>
        <v>0</v>
      </c>
      <c r="J199" s="608">
        <f t="shared" si="64"/>
        <v>0</v>
      </c>
    </row>
    <row r="201" spans="1:10" ht="15">
      <c r="A201" s="592" t="str">
        <f>""&amp;TCOS!N3&amp;" Cost of Preferred Stock and Preferred Dividends"</f>
        <v xml:space="preserve">  Cost of Preferred Stock and Preferred Dividends</v>
      </c>
      <c r="B201" s="609"/>
      <c r="C201" s="609"/>
      <c r="D201" s="609"/>
      <c r="E201" s="609"/>
    </row>
    <row r="202" spans="1:10">
      <c r="A202" s="601">
        <f>A199+1</f>
        <v>133</v>
      </c>
      <c r="B202" s="7" t="str">
        <f>"Average Balance of Preferred Stock (Ln "&amp;A52&amp;" + Ln "&amp;A139&amp;") / 2"</f>
        <v>Average Balance of Preferred Stock (Ln 35 + Ln 94) / 2</v>
      </c>
      <c r="C202" s="608">
        <f>AVERAGE(C52,C139)</f>
        <v>0</v>
      </c>
      <c r="D202" s="608"/>
      <c r="E202" s="608">
        <f t="shared" ref="E202:J202" si="65">AVERAGE(E52,E139)</f>
        <v>0</v>
      </c>
      <c r="F202" s="608">
        <f t="shared" si="65"/>
        <v>0</v>
      </c>
      <c r="G202" s="608">
        <f t="shared" si="65"/>
        <v>0</v>
      </c>
      <c r="H202" s="608">
        <f t="shared" si="65"/>
        <v>0</v>
      </c>
      <c r="I202" s="608">
        <f t="shared" si="65"/>
        <v>0</v>
      </c>
      <c r="J202" s="608">
        <f t="shared" si="65"/>
        <v>0</v>
      </c>
    </row>
    <row r="203" spans="1:10">
      <c r="A203" s="601">
        <f>A202+1</f>
        <v>134</v>
      </c>
      <c r="B203" s="7" t="str">
        <f>""&amp;TCOS!N3&amp;" Preferred Dividends (Ln "&amp;A53&amp;")"</f>
        <v xml:space="preserve">  Preferred Dividends (Ln 36)</v>
      </c>
      <c r="C203" s="608">
        <f>C53</f>
        <v>0</v>
      </c>
      <c r="D203" s="608"/>
      <c r="E203" s="608">
        <f t="shared" ref="E203:J203" si="66">E53</f>
        <v>0</v>
      </c>
      <c r="F203" s="608">
        <f t="shared" si="66"/>
        <v>0</v>
      </c>
      <c r="G203" s="608">
        <f t="shared" si="66"/>
        <v>0</v>
      </c>
      <c r="H203" s="608">
        <f t="shared" si="66"/>
        <v>0</v>
      </c>
      <c r="I203" s="608">
        <f t="shared" si="66"/>
        <v>0</v>
      </c>
      <c r="J203" s="608">
        <f t="shared" si="66"/>
        <v>0</v>
      </c>
    </row>
    <row r="204" spans="1:10">
      <c r="B204" s="620"/>
    </row>
    <row r="205" spans="1:10" ht="15">
      <c r="A205" s="592" t="s">
        <v>541</v>
      </c>
    </row>
    <row r="206" spans="1:10">
      <c r="A206" s="601">
        <f>A203+1</f>
        <v>135</v>
      </c>
      <c r="B206" s="442" t="str">
        <f>"Average Proprietary Capital (Ln "&amp;A56&amp;" + Ln "&amp;A143&amp;") / 2"</f>
        <v>Average Proprietary Capital (Ln 37 + Ln 96) / 2</v>
      </c>
      <c r="C206" s="332" t="e">
        <f t="shared" ref="C206:I206" si="67">AVERAGE(C56,C143)</f>
        <v>#DIV/0!</v>
      </c>
      <c r="D206" s="332"/>
      <c r="E206" s="332" t="e">
        <f t="shared" si="67"/>
        <v>#DIV/0!</v>
      </c>
      <c r="F206" s="332" t="e">
        <f t="shared" si="67"/>
        <v>#DIV/0!</v>
      </c>
      <c r="G206" s="332" t="e">
        <f t="shared" si="67"/>
        <v>#DIV/0!</v>
      </c>
      <c r="H206" s="332" t="e">
        <f t="shared" si="67"/>
        <v>#DIV/0!</v>
      </c>
      <c r="I206" s="332" t="e">
        <f t="shared" si="67"/>
        <v>#DIV/0!</v>
      </c>
      <c r="J206" s="608" t="e">
        <f>SUM(C206:I206)</f>
        <v>#DIV/0!</v>
      </c>
    </row>
    <row r="207" spans="1:10">
      <c r="A207" s="601">
        <f>A206+1</f>
        <v>136</v>
      </c>
      <c r="B207" s="442" t="str">
        <f>"Less: Average Preferred Stock (Ln "&amp;A202&amp;" Above)"</f>
        <v>Less: Average Preferred Stock (Ln 133 Above)</v>
      </c>
      <c r="C207" s="332">
        <f t="shared" ref="C207:H207" si="68">C202</f>
        <v>0</v>
      </c>
      <c r="D207" s="332"/>
      <c r="E207" s="332">
        <f t="shared" si="68"/>
        <v>0</v>
      </c>
      <c r="F207" s="332">
        <f t="shared" si="68"/>
        <v>0</v>
      </c>
      <c r="G207" s="332">
        <f t="shared" si="68"/>
        <v>0</v>
      </c>
      <c r="H207" s="332">
        <f t="shared" si="68"/>
        <v>0</v>
      </c>
      <c r="I207" s="332">
        <f>I202</f>
        <v>0</v>
      </c>
      <c r="J207" s="608">
        <f>SUM(C207:I207)</f>
        <v>0</v>
      </c>
    </row>
    <row r="208" spans="1:10">
      <c r="A208" s="601">
        <f>A207+1</f>
        <v>137</v>
      </c>
      <c r="B208" s="442" t="str">
        <f>"Less: Average Account 216.1 (Ln "&amp;A58&amp;" + Ln "&amp;A145&amp;") / 2"</f>
        <v>Less: Average Account 216.1 (Ln 39 + Ln 98) / 2</v>
      </c>
      <c r="C208" s="332" t="e">
        <f t="shared" ref="C208:I209" si="69">AVERAGE(C58,C145)</f>
        <v>#DIV/0!</v>
      </c>
      <c r="D208" s="332"/>
      <c r="E208" s="332" t="e">
        <f t="shared" si="69"/>
        <v>#DIV/0!</v>
      </c>
      <c r="F208" s="332" t="e">
        <f t="shared" si="69"/>
        <v>#DIV/0!</v>
      </c>
      <c r="G208" s="332" t="e">
        <f t="shared" si="69"/>
        <v>#DIV/0!</v>
      </c>
      <c r="H208" s="332" t="e">
        <f t="shared" si="69"/>
        <v>#DIV/0!</v>
      </c>
      <c r="I208" s="332" t="e">
        <f t="shared" si="69"/>
        <v>#DIV/0!</v>
      </c>
      <c r="J208" s="608" t="e">
        <f>SUM(C208:I208)</f>
        <v>#DIV/0!</v>
      </c>
    </row>
    <row r="209" spans="1:12">
      <c r="A209" s="601">
        <f>A208+1</f>
        <v>138</v>
      </c>
      <c r="B209" s="442" t="str">
        <f>"Less: Average Account 219.1 (Ln "&amp;A59&amp;" + Ln "&amp;A146&amp;") / 2"</f>
        <v>Less: Average Account 219.1 (Ln 40 + Ln 99) / 2</v>
      </c>
      <c r="C209" s="619" t="e">
        <f t="shared" si="69"/>
        <v>#DIV/0!</v>
      </c>
      <c r="D209" s="619"/>
      <c r="E209" s="619" t="e">
        <f t="shared" si="69"/>
        <v>#DIV/0!</v>
      </c>
      <c r="F209" s="619" t="e">
        <f t="shared" si="69"/>
        <v>#DIV/0!</v>
      </c>
      <c r="G209" s="619" t="e">
        <f t="shared" si="69"/>
        <v>#DIV/0!</v>
      </c>
      <c r="H209" s="619" t="e">
        <f t="shared" si="69"/>
        <v>#DIV/0!</v>
      </c>
      <c r="I209" s="619" t="e">
        <f t="shared" si="69"/>
        <v>#DIV/0!</v>
      </c>
      <c r="J209" s="613" t="e">
        <f>SUM(C209:I209)</f>
        <v>#DIV/0!</v>
      </c>
    </row>
    <row r="210" spans="1:12">
      <c r="A210" s="601">
        <f>A209+1</f>
        <v>139</v>
      </c>
      <c r="B210" s="446" t="s">
        <v>339</v>
      </c>
      <c r="C210" s="580" t="e">
        <f t="shared" ref="C210:J210" si="70">C206-C207-C208-C209</f>
        <v>#DIV/0!</v>
      </c>
      <c r="D210" s="580"/>
      <c r="E210" s="580" t="e">
        <f t="shared" si="70"/>
        <v>#DIV/0!</v>
      </c>
      <c r="F210" s="580" t="e">
        <f t="shared" si="70"/>
        <v>#DIV/0!</v>
      </c>
      <c r="G210" s="580" t="e">
        <f t="shared" si="70"/>
        <v>#DIV/0!</v>
      </c>
      <c r="H210" s="580" t="e">
        <f t="shared" si="70"/>
        <v>#DIV/0!</v>
      </c>
      <c r="I210" s="580" t="e">
        <f t="shared" si="70"/>
        <v>#DIV/0!</v>
      </c>
      <c r="J210" s="580" t="e">
        <f t="shared" si="70"/>
        <v>#DIV/0!</v>
      </c>
    </row>
    <row r="212" spans="1:12" ht="15">
      <c r="A212" s="592" t="s">
        <v>533</v>
      </c>
    </row>
    <row r="213" spans="1:12">
      <c r="A213" s="601">
        <f>A210+1</f>
        <v>140</v>
      </c>
      <c r="B213" s="7" t="str">
        <f>"Average Balance of Long Term Debt (Ln "&amp;A188&amp;" Above)"</f>
        <v>Average Balance of Long Term Debt (Ln 124 Above)</v>
      </c>
      <c r="C213" s="608" t="e">
        <f t="shared" ref="C213:J213" si="71">C188</f>
        <v>#DIV/0!</v>
      </c>
      <c r="D213" s="608"/>
      <c r="E213" s="608" t="e">
        <f t="shared" si="71"/>
        <v>#DIV/0!</v>
      </c>
      <c r="F213" s="608" t="e">
        <f t="shared" si="71"/>
        <v>#DIV/0!</v>
      </c>
      <c r="G213" s="608" t="e">
        <f t="shared" si="71"/>
        <v>#DIV/0!</v>
      </c>
      <c r="H213" s="608" t="e">
        <f t="shared" si="71"/>
        <v>#DIV/0!</v>
      </c>
      <c r="I213" s="608" t="e">
        <f t="shared" si="71"/>
        <v>#DIV/0!</v>
      </c>
      <c r="J213" s="608" t="e">
        <f t="shared" si="71"/>
        <v>#DIV/0!</v>
      </c>
    </row>
    <row r="214" spans="1:12">
      <c r="A214" s="601">
        <f>A213+1</f>
        <v>141</v>
      </c>
      <c r="B214" s="7" t="str">
        <f>"Average Balance of Preferred Stock (Ln "&amp;A202&amp;" Above)"</f>
        <v>Average Balance of Preferred Stock (Ln 133 Above)</v>
      </c>
      <c r="C214" s="608">
        <f t="shared" ref="C214:J214" si="72">C202</f>
        <v>0</v>
      </c>
      <c r="D214" s="608"/>
      <c r="E214" s="608">
        <f t="shared" si="72"/>
        <v>0</v>
      </c>
      <c r="F214" s="608">
        <f t="shared" si="72"/>
        <v>0</v>
      </c>
      <c r="G214" s="608">
        <f t="shared" si="72"/>
        <v>0</v>
      </c>
      <c r="H214" s="608">
        <f t="shared" si="72"/>
        <v>0</v>
      </c>
      <c r="I214" s="608">
        <f t="shared" si="72"/>
        <v>0</v>
      </c>
      <c r="J214" s="608">
        <f t="shared" si="72"/>
        <v>0</v>
      </c>
    </row>
    <row r="215" spans="1:12">
      <c r="A215" s="601">
        <f>A214+1</f>
        <v>142</v>
      </c>
      <c r="B215" s="7" t="str">
        <f>"Average Balance of Common Equity (Ln "&amp;A210&amp;" Above)"</f>
        <v>Average Balance of Common Equity (Ln 139 Above)</v>
      </c>
      <c r="C215" s="613" t="e">
        <f t="shared" ref="C215:J215" si="73">C210</f>
        <v>#DIV/0!</v>
      </c>
      <c r="D215" s="613"/>
      <c r="E215" s="613" t="e">
        <f t="shared" si="73"/>
        <v>#DIV/0!</v>
      </c>
      <c r="F215" s="613" t="e">
        <f t="shared" si="73"/>
        <v>#DIV/0!</v>
      </c>
      <c r="G215" s="613" t="e">
        <f t="shared" si="73"/>
        <v>#DIV/0!</v>
      </c>
      <c r="H215" s="613" t="e">
        <f t="shared" si="73"/>
        <v>#DIV/0!</v>
      </c>
      <c r="I215" s="613" t="e">
        <f t="shared" si="73"/>
        <v>#DIV/0!</v>
      </c>
      <c r="J215" s="613" t="e">
        <f t="shared" si="73"/>
        <v>#DIV/0!</v>
      </c>
    </row>
    <row r="216" spans="1:12">
      <c r="A216" s="601">
        <f>A215+1</f>
        <v>143</v>
      </c>
      <c r="B216" s="601" t="s">
        <v>542</v>
      </c>
      <c r="C216" s="608" t="e">
        <f t="shared" ref="C216:J216" si="74">SUM(C213:C215)</f>
        <v>#DIV/0!</v>
      </c>
      <c r="D216" s="608"/>
      <c r="E216" s="608" t="e">
        <f t="shared" si="74"/>
        <v>#DIV/0!</v>
      </c>
      <c r="F216" s="608" t="e">
        <f t="shared" si="74"/>
        <v>#DIV/0!</v>
      </c>
      <c r="G216" s="608" t="e">
        <f t="shared" si="74"/>
        <v>#DIV/0!</v>
      </c>
      <c r="H216" s="608" t="e">
        <f t="shared" si="74"/>
        <v>#DIV/0!</v>
      </c>
      <c r="I216" s="608" t="e">
        <f t="shared" si="74"/>
        <v>#DIV/0!</v>
      </c>
      <c r="J216" s="608" t="e">
        <f t="shared" si="74"/>
        <v>#DIV/0!</v>
      </c>
      <c r="L216" s="622"/>
    </row>
    <row r="218" spans="1:12">
      <c r="A218" s="601">
        <f>A216+1</f>
        <v>144</v>
      </c>
      <c r="B218" s="7" t="str">
        <f>"Average Balance of LTD Capital Shares (Ln "&amp;A213&amp;" / Ln "&amp;A216&amp;")"</f>
        <v>Average Balance of LTD Capital Shares (Ln 140 / Ln 143)</v>
      </c>
      <c r="C218" s="614" t="e">
        <f t="shared" ref="C218:I218" si="75">C213/C216</f>
        <v>#DIV/0!</v>
      </c>
      <c r="D218" s="614"/>
      <c r="E218" s="614" t="e">
        <f t="shared" si="75"/>
        <v>#DIV/0!</v>
      </c>
      <c r="F218" s="614" t="e">
        <f t="shared" si="75"/>
        <v>#DIV/0!</v>
      </c>
      <c r="G218" s="614" t="e">
        <f t="shared" si="75"/>
        <v>#DIV/0!</v>
      </c>
      <c r="H218" s="614" t="e">
        <f t="shared" si="75"/>
        <v>#DIV/0!</v>
      </c>
      <c r="I218" s="614" t="e">
        <f t="shared" si="75"/>
        <v>#DIV/0!</v>
      </c>
      <c r="J218" s="614" t="e">
        <f>J213/J216</f>
        <v>#DIV/0!</v>
      </c>
    </row>
    <row r="219" spans="1:12">
      <c r="A219" s="601">
        <f>A218+1</f>
        <v>145</v>
      </c>
      <c r="B219" s="7" t="str">
        <f>"Average Balance of Preferred Stock Capital Shares (Ln "&amp;A214&amp;" / Ln "&amp;A216&amp;")"</f>
        <v>Average Balance of Preferred Stock Capital Shares (Ln 141 / Ln 143)</v>
      </c>
      <c r="C219" s="614" t="e">
        <f t="shared" ref="C219:I219" si="76">C214/C216</f>
        <v>#DIV/0!</v>
      </c>
      <c r="D219" s="614"/>
      <c r="E219" s="614" t="e">
        <f t="shared" si="76"/>
        <v>#DIV/0!</v>
      </c>
      <c r="F219" s="614" t="e">
        <f t="shared" si="76"/>
        <v>#DIV/0!</v>
      </c>
      <c r="G219" s="614" t="e">
        <f t="shared" si="76"/>
        <v>#DIV/0!</v>
      </c>
      <c r="H219" s="614" t="e">
        <f t="shared" si="76"/>
        <v>#DIV/0!</v>
      </c>
      <c r="I219" s="614" t="e">
        <f t="shared" si="76"/>
        <v>#DIV/0!</v>
      </c>
      <c r="J219" s="614" t="e">
        <f>J214/J216</f>
        <v>#DIV/0!</v>
      </c>
    </row>
    <row r="220" spans="1:12">
      <c r="A220" s="601">
        <f>A219+1</f>
        <v>146</v>
      </c>
      <c r="B220" s="7" t="str">
        <f>"Average Balance of Common Equity Capital Shares (Ln "&amp;A215&amp;" / Ln "&amp;A216&amp;")"</f>
        <v>Average Balance of Common Equity Capital Shares (Ln 142 / Ln 143)</v>
      </c>
      <c r="C220" s="615" t="e">
        <f t="shared" ref="C220:I220" si="77">C215/C216</f>
        <v>#DIV/0!</v>
      </c>
      <c r="D220" s="615"/>
      <c r="E220" s="615" t="e">
        <f t="shared" si="77"/>
        <v>#DIV/0!</v>
      </c>
      <c r="F220" s="615" t="e">
        <f t="shared" si="77"/>
        <v>#DIV/0!</v>
      </c>
      <c r="G220" s="615" t="e">
        <f t="shared" si="77"/>
        <v>#DIV/0!</v>
      </c>
      <c r="H220" s="615" t="e">
        <f t="shared" si="77"/>
        <v>#DIV/0!</v>
      </c>
      <c r="I220" s="615" t="e">
        <f t="shared" si="77"/>
        <v>#DIV/0!</v>
      </c>
      <c r="J220" s="615" t="e">
        <f>J215/J216</f>
        <v>#DIV/0!</v>
      </c>
    </row>
    <row r="221" spans="1:12">
      <c r="B221" s="7"/>
      <c r="C221" s="615"/>
      <c r="D221" s="615"/>
      <c r="E221" s="615"/>
      <c r="F221" s="615"/>
      <c r="G221" s="615"/>
      <c r="H221" s="615"/>
      <c r="I221" s="615"/>
      <c r="J221" s="615"/>
    </row>
    <row r="222" spans="1:12">
      <c r="A222" s="601">
        <f>A220+1</f>
        <v>147</v>
      </c>
      <c r="B222" s="334" t="s">
        <v>564</v>
      </c>
      <c r="C222" s="615"/>
      <c r="D222" s="615"/>
      <c r="E222" s="615"/>
      <c r="F222" s="615"/>
      <c r="G222" s="615"/>
      <c r="H222" s="615"/>
      <c r="I222" s="615"/>
      <c r="J222" s="615"/>
    </row>
    <row r="223" spans="1:12">
      <c r="B223" s="7"/>
      <c r="C223" s="615"/>
      <c r="D223" s="615"/>
      <c r="E223" s="615"/>
      <c r="F223" s="615"/>
      <c r="G223" s="615"/>
      <c r="H223" s="615"/>
      <c r="I223" s="615"/>
      <c r="J223" s="615"/>
    </row>
    <row r="224" spans="1:12">
      <c r="A224" s="601">
        <f>A222+1</f>
        <v>148</v>
      </c>
      <c r="B224" s="334" t="s">
        <v>564</v>
      </c>
      <c r="C224" s="615"/>
      <c r="D224" s="615"/>
      <c r="E224" s="615"/>
      <c r="F224" s="615"/>
      <c r="G224" s="615"/>
      <c r="H224" s="615"/>
      <c r="I224" s="615"/>
      <c r="J224" s="615"/>
    </row>
    <row r="225" spans="1:10">
      <c r="A225" s="601">
        <f>A224+1</f>
        <v>149</v>
      </c>
      <c r="B225" s="334" t="s">
        <v>564</v>
      </c>
      <c r="C225" s="615"/>
      <c r="D225" s="615"/>
      <c r="E225" s="615"/>
      <c r="F225" s="615"/>
      <c r="G225" s="615"/>
      <c r="H225" s="615"/>
      <c r="I225" s="615"/>
      <c r="J225" s="615"/>
    </row>
    <row r="226" spans="1:10">
      <c r="A226" s="601">
        <f>A225+1</f>
        <v>150</v>
      </c>
      <c r="B226" s="334" t="s">
        <v>564</v>
      </c>
      <c r="C226" s="615"/>
      <c r="D226" s="615"/>
      <c r="E226" s="615"/>
      <c r="F226" s="615"/>
      <c r="G226" s="615"/>
      <c r="H226" s="615"/>
      <c r="I226" s="615"/>
      <c r="J226" s="615"/>
    </row>
    <row r="227" spans="1:10">
      <c r="B227" s="7"/>
      <c r="C227" s="615"/>
      <c r="D227" s="615"/>
      <c r="E227" s="615"/>
      <c r="F227" s="615"/>
      <c r="G227" s="615"/>
      <c r="H227" s="615"/>
      <c r="I227" s="615"/>
      <c r="J227" s="615"/>
    </row>
    <row r="228" spans="1:10" ht="15">
      <c r="A228" s="592" t="s">
        <v>535</v>
      </c>
    </row>
    <row r="229" spans="1:10">
      <c r="A229" s="601">
        <f>A226+1</f>
        <v>151</v>
      </c>
      <c r="B229" s="7" t="str">
        <f>"LTD Capital Cost Rate (Ln "&amp;A199&amp;" / Ln "&amp;A188&amp;")"</f>
        <v>LTD Capital Cost Rate (Ln 132 / Ln 124)</v>
      </c>
      <c r="C229" s="615" t="e">
        <f t="shared" ref="C229:J229" si="78">C199/C188</f>
        <v>#DIV/0!</v>
      </c>
      <c r="D229" s="615"/>
      <c r="E229" s="615" t="e">
        <f t="shared" si="78"/>
        <v>#DIV/0!</v>
      </c>
      <c r="F229" s="615" t="e">
        <f t="shared" si="78"/>
        <v>#DIV/0!</v>
      </c>
      <c r="G229" s="615" t="e">
        <f t="shared" si="78"/>
        <v>#DIV/0!</v>
      </c>
      <c r="H229" s="615" t="e">
        <f t="shared" si="78"/>
        <v>#DIV/0!</v>
      </c>
      <c r="I229" s="615" t="e">
        <f t="shared" si="78"/>
        <v>#DIV/0!</v>
      </c>
      <c r="J229" s="615" t="e">
        <f t="shared" si="78"/>
        <v>#DIV/0!</v>
      </c>
    </row>
    <row r="230" spans="1:10">
      <c r="A230" s="601">
        <f>A229+1</f>
        <v>152</v>
      </c>
      <c r="B230" s="7" t="str">
        <f>"Preferred Stock Capital Cost Rate (Ln "&amp;A203&amp;" / Ln "&amp;A202&amp;")"</f>
        <v>Preferred Stock Capital Cost Rate (Ln 134 / Ln 133)</v>
      </c>
      <c r="C230" s="615">
        <f t="shared" ref="C230:J230" si="79">IF(C202=0,0,C203/C202)</f>
        <v>0</v>
      </c>
      <c r="D230" s="615"/>
      <c r="E230" s="615">
        <f t="shared" si="79"/>
        <v>0</v>
      </c>
      <c r="F230" s="615">
        <f t="shared" si="79"/>
        <v>0</v>
      </c>
      <c r="G230" s="615">
        <f t="shared" si="79"/>
        <v>0</v>
      </c>
      <c r="H230" s="615">
        <f t="shared" si="79"/>
        <v>0</v>
      </c>
      <c r="I230" s="615">
        <f t="shared" si="79"/>
        <v>0</v>
      </c>
      <c r="J230" s="615">
        <f t="shared" si="79"/>
        <v>0</v>
      </c>
    </row>
    <row r="231" spans="1:10">
      <c r="A231" s="601">
        <f>A230+1</f>
        <v>153</v>
      </c>
      <c r="B231" s="7" t="s">
        <v>536</v>
      </c>
      <c r="C231" s="615">
        <v>0.1149</v>
      </c>
      <c r="D231" s="615"/>
      <c r="E231" s="615">
        <v>0.1149</v>
      </c>
      <c r="F231" s="615">
        <v>0.1149</v>
      </c>
      <c r="G231" s="615">
        <v>0.1149</v>
      </c>
      <c r="H231" s="615">
        <v>0.1149</v>
      </c>
      <c r="I231" s="615">
        <v>0.1149</v>
      </c>
      <c r="J231" s="615">
        <v>0.1149</v>
      </c>
    </row>
    <row r="233" spans="1:10" ht="15">
      <c r="A233" s="592" t="s">
        <v>537</v>
      </c>
    </row>
    <row r="234" spans="1:10">
      <c r="A234" s="601">
        <f>A231+1</f>
        <v>154</v>
      </c>
      <c r="B234" s="7" t="str">
        <f>"LTD Weighted Capital Cost Rate (Ln "&amp;A218&amp;" * Ln "&amp;A229&amp;")"</f>
        <v>LTD Weighted Capital Cost Rate (Ln 144 * Ln 151)</v>
      </c>
      <c r="C234" s="615" t="e">
        <f>C218*C229</f>
        <v>#DIV/0!</v>
      </c>
      <c r="D234" s="615"/>
      <c r="E234" s="615" t="e">
        <f t="shared" ref="E234:J234" si="80">E218*E229</f>
        <v>#DIV/0!</v>
      </c>
      <c r="F234" s="615" t="e">
        <f t="shared" si="80"/>
        <v>#DIV/0!</v>
      </c>
      <c r="G234" s="615" t="e">
        <f t="shared" si="80"/>
        <v>#DIV/0!</v>
      </c>
      <c r="H234" s="615" t="e">
        <f t="shared" si="80"/>
        <v>#DIV/0!</v>
      </c>
      <c r="I234" s="615" t="e">
        <f t="shared" si="80"/>
        <v>#DIV/0!</v>
      </c>
      <c r="J234" s="615" t="e">
        <f t="shared" si="80"/>
        <v>#DIV/0!</v>
      </c>
    </row>
    <row r="235" spans="1:10">
      <c r="A235" s="601">
        <f>A234+1</f>
        <v>155</v>
      </c>
      <c r="B235" s="7" t="str">
        <f>"Preferred Stock Capital Cost Rate (Ln "&amp;A219&amp;" * Ln "&amp;A230&amp;")"</f>
        <v>Preferred Stock Capital Cost Rate (Ln 145 * Ln 152)</v>
      </c>
      <c r="C235" s="615" t="e">
        <f>C219*C230</f>
        <v>#DIV/0!</v>
      </c>
      <c r="D235" s="615"/>
      <c r="E235" s="615" t="e">
        <f t="shared" ref="E235:J235" si="81">E219*E230</f>
        <v>#DIV/0!</v>
      </c>
      <c r="F235" s="615" t="e">
        <f t="shared" si="81"/>
        <v>#DIV/0!</v>
      </c>
      <c r="G235" s="615" t="e">
        <f t="shared" si="81"/>
        <v>#DIV/0!</v>
      </c>
      <c r="H235" s="615" t="e">
        <f t="shared" si="81"/>
        <v>#DIV/0!</v>
      </c>
      <c r="I235" s="615" t="e">
        <f t="shared" si="81"/>
        <v>#DIV/0!</v>
      </c>
      <c r="J235" s="615" t="e">
        <f t="shared" si="81"/>
        <v>#DIV/0!</v>
      </c>
    </row>
    <row r="236" spans="1:10">
      <c r="A236" s="601">
        <f>A235+1</f>
        <v>156</v>
      </c>
      <c r="B236" s="7" t="str">
        <f>"Common Equity Capital Cost Rate (Ln "&amp;A220&amp;" * Ln "&amp;A231&amp;")"</f>
        <v>Common Equity Capital Cost Rate (Ln 146 * Ln 153)</v>
      </c>
      <c r="C236" s="623" t="e">
        <f>C220*C231</f>
        <v>#DIV/0!</v>
      </c>
      <c r="D236" s="623"/>
      <c r="E236" s="623" t="e">
        <f t="shared" ref="E236:J236" si="82">E220*E231</f>
        <v>#DIV/0!</v>
      </c>
      <c r="F236" s="623" t="e">
        <f t="shared" si="82"/>
        <v>#DIV/0!</v>
      </c>
      <c r="G236" s="623" t="e">
        <f t="shared" si="82"/>
        <v>#DIV/0!</v>
      </c>
      <c r="H236" s="623" t="e">
        <f t="shared" si="82"/>
        <v>#DIV/0!</v>
      </c>
      <c r="I236" s="623" t="e">
        <f t="shared" si="82"/>
        <v>#DIV/0!</v>
      </c>
      <c r="J236" s="623" t="e">
        <f t="shared" si="82"/>
        <v>#DIV/0!</v>
      </c>
    </row>
    <row r="237" spans="1:10">
      <c r="A237" s="601">
        <f>A236+1</f>
        <v>157</v>
      </c>
      <c r="B237" s="621" t="s">
        <v>69</v>
      </c>
      <c r="C237" s="624" t="e">
        <f t="shared" ref="C237:J237" si="83">SUM(C234:C236)</f>
        <v>#DIV/0!</v>
      </c>
      <c r="D237" s="624"/>
      <c r="E237" s="624" t="e">
        <f t="shared" si="83"/>
        <v>#DIV/0!</v>
      </c>
      <c r="F237" s="624" t="e">
        <f t="shared" si="83"/>
        <v>#DIV/0!</v>
      </c>
      <c r="G237" s="624" t="e">
        <f t="shared" si="83"/>
        <v>#DIV/0!</v>
      </c>
      <c r="H237" s="624" t="e">
        <f t="shared" si="83"/>
        <v>#DIV/0!</v>
      </c>
      <c r="I237" s="624" t="e">
        <f t="shared" si="83"/>
        <v>#DIV/0!</v>
      </c>
      <c r="J237" s="624" t="e">
        <f t="shared" si="83"/>
        <v>#DIV/0!</v>
      </c>
    </row>
    <row r="238" spans="1:10">
      <c r="B238" s="620"/>
    </row>
  </sheetData>
  <mergeCells count="12">
    <mergeCell ref="B16:J16"/>
    <mergeCell ref="A3:J3"/>
    <mergeCell ref="A4:J4"/>
    <mergeCell ref="A5:J5"/>
    <mergeCell ref="A90:J90"/>
    <mergeCell ref="A179:J179"/>
    <mergeCell ref="B190:J190"/>
    <mergeCell ref="A91:J91"/>
    <mergeCell ref="A92:J92"/>
    <mergeCell ref="B103:J103"/>
    <mergeCell ref="A177:J177"/>
    <mergeCell ref="A178:J178"/>
  </mergeCells>
  <phoneticPr fontId="112"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7"/>
  <sheetViews>
    <sheetView view="pageBreakPreview" topLeftCell="A5" zoomScale="60" zoomScaleNormal="100" workbookViewId="0">
      <selection activeCell="E14" sqref="E14"/>
    </sheetView>
  </sheetViews>
  <sheetFormatPr defaultColWidth="8.85546875" defaultRowHeight="12.75"/>
  <cols>
    <col min="2" max="2" width="30.85546875" customWidth="1"/>
    <col min="3" max="3" width="10.5703125" customWidth="1"/>
    <col min="5" max="5" width="28.140625" customWidth="1"/>
    <col min="7" max="7" width="12.7109375" customWidth="1"/>
    <col min="9" max="9" width="18.28515625" customWidth="1"/>
    <col min="10" max="10" width="17" customWidth="1"/>
    <col min="11" max="11" width="5.5703125" customWidth="1"/>
    <col min="12" max="12" width="18.7109375" customWidth="1"/>
  </cols>
  <sheetData>
    <row r="1" spans="2:12" ht="15.75">
      <c r="B1" s="1224" t="s">
        <v>616</v>
      </c>
      <c r="C1" s="1224"/>
      <c r="D1" s="1224"/>
      <c r="E1" s="1224"/>
      <c r="F1" s="1224"/>
      <c r="G1" s="1224"/>
      <c r="H1" s="1224"/>
      <c r="I1" s="1224"/>
      <c r="J1" s="1224"/>
      <c r="K1" s="1224"/>
      <c r="L1" s="1224"/>
    </row>
    <row r="2" spans="2:12" ht="15.75">
      <c r="B2" s="1223" t="s">
        <v>563</v>
      </c>
      <c r="C2" s="1223"/>
      <c r="D2" s="1223"/>
      <c r="E2" s="1223"/>
      <c r="F2" s="1223"/>
      <c r="G2" s="1223"/>
      <c r="H2" s="1223"/>
      <c r="I2" s="1223"/>
      <c r="J2" s="1223"/>
      <c r="K2" s="1223"/>
      <c r="L2" s="1223"/>
    </row>
    <row r="3" spans="2:12" ht="15.75">
      <c r="B3" s="1223" t="s">
        <v>593</v>
      </c>
      <c r="C3" s="1223"/>
      <c r="D3" s="1223"/>
      <c r="E3" s="1223"/>
      <c r="F3" s="1223"/>
      <c r="G3" s="1223"/>
      <c r="H3" s="1223"/>
      <c r="I3" s="1223"/>
      <c r="J3" s="1223"/>
      <c r="K3" s="1223"/>
      <c r="L3" s="1223"/>
    </row>
    <row r="4" spans="2:12" ht="15.75">
      <c r="B4" s="129"/>
      <c r="C4" s="129"/>
      <c r="D4" s="129"/>
      <c r="E4" s="1223"/>
      <c r="F4" s="1223"/>
      <c r="G4" s="1223"/>
      <c r="H4" s="1223"/>
      <c r="I4" s="129"/>
      <c r="J4" s="129"/>
      <c r="K4" s="129"/>
      <c r="L4" s="129"/>
    </row>
    <row r="7" spans="2:12" ht="16.5" thickBot="1">
      <c r="B7" s="630"/>
      <c r="C7" s="631"/>
      <c r="D7" s="631"/>
      <c r="E7" s="631"/>
      <c r="F7" s="631"/>
      <c r="G7" s="631"/>
      <c r="H7" s="631"/>
      <c r="I7" s="631"/>
      <c r="J7" s="631"/>
      <c r="K7" s="631"/>
      <c r="L7" s="631"/>
    </row>
    <row r="8" spans="2:12" ht="47.25">
      <c r="B8" s="632" t="str">
        <f>"Reconciliation Revenue Requirement For Year 2024 Available May 25, 2025"</f>
        <v>Reconciliation Revenue Requirement For Year 2024 Available May 25, 2025</v>
      </c>
      <c r="C8" s="631"/>
      <c r="D8" s="631"/>
      <c r="E8" s="632" t="s">
        <v>999</v>
      </c>
      <c r="F8" s="631"/>
      <c r="G8" s="631"/>
      <c r="H8" s="129"/>
      <c r="I8" s="632" t="s">
        <v>565</v>
      </c>
      <c r="J8" s="129"/>
      <c r="K8" s="129"/>
      <c r="L8" s="129"/>
    </row>
    <row r="9" spans="2:12" ht="15.75">
      <c r="B9" s="633" t="s">
        <v>414</v>
      </c>
      <c r="C9" s="631"/>
      <c r="D9" s="631"/>
      <c r="E9" s="633"/>
      <c r="F9" s="631"/>
      <c r="G9" s="631"/>
      <c r="H9" s="129"/>
      <c r="I9" s="634"/>
      <c r="J9" s="129"/>
      <c r="K9" s="129"/>
      <c r="L9" s="129"/>
    </row>
    <row r="10" spans="2:12" ht="16.5" thickBot="1">
      <c r="B10" s="629">
        <v>431473667.79338235</v>
      </c>
      <c r="C10" s="635" t="str">
        <f>"-"</f>
        <v>-</v>
      </c>
      <c r="D10" s="636"/>
      <c r="E10" s="629">
        <v>427996130.83685911</v>
      </c>
      <c r="F10" s="637"/>
      <c r="G10" s="638" t="str">
        <f>"="</f>
        <v>=</v>
      </c>
      <c r="H10" s="639"/>
      <c r="I10" s="640">
        <f>IF(B10=0,0,E10-B10)</f>
        <v>-3477536.9565232396</v>
      </c>
      <c r="J10" s="129"/>
      <c r="K10" s="129"/>
      <c r="L10" s="129"/>
    </row>
    <row r="11" spans="2:12" ht="15.75">
      <c r="B11" s="641"/>
      <c r="C11" s="642"/>
      <c r="D11" s="642"/>
      <c r="E11" s="641"/>
      <c r="F11" s="641"/>
      <c r="G11" s="642"/>
      <c r="H11" s="641"/>
      <c r="I11" s="129"/>
      <c r="J11" s="129"/>
      <c r="K11" s="129"/>
      <c r="L11" s="129"/>
    </row>
    <row r="12" spans="2:12" ht="16.5" thickBot="1">
      <c r="B12" s="643"/>
      <c r="C12" s="644"/>
      <c r="D12" s="644"/>
      <c r="E12" s="643"/>
      <c r="F12" s="643"/>
      <c r="G12" s="644"/>
      <c r="H12" s="643"/>
      <c r="I12" s="645"/>
      <c r="J12" s="645"/>
      <c r="K12" s="645"/>
      <c r="L12" s="645"/>
    </row>
    <row r="13" spans="2:12" ht="15.75">
      <c r="B13" s="646"/>
      <c r="C13" s="642"/>
      <c r="D13" s="642"/>
      <c r="E13" s="641"/>
      <c r="F13" s="641"/>
      <c r="G13" s="642"/>
      <c r="H13" s="641"/>
      <c r="I13" s="129"/>
      <c r="J13" s="129"/>
      <c r="K13" s="129"/>
      <c r="L13" s="129"/>
    </row>
    <row r="14" spans="2:12" ht="47.25">
      <c r="B14" s="647" t="s">
        <v>622</v>
      </c>
      <c r="C14" s="642"/>
      <c r="D14" s="642"/>
      <c r="E14" s="648" t="s">
        <v>566</v>
      </c>
      <c r="F14" s="641"/>
      <c r="G14" s="648" t="s">
        <v>567</v>
      </c>
      <c r="H14" s="649" t="s">
        <v>568</v>
      </c>
      <c r="I14" s="650" t="s">
        <v>569</v>
      </c>
      <c r="J14" s="648" t="s">
        <v>570</v>
      </c>
      <c r="K14" s="651"/>
      <c r="L14" s="648" t="s">
        <v>571</v>
      </c>
    </row>
    <row r="15" spans="2:12" ht="15.75">
      <c r="B15" s="647" t="s">
        <v>822</v>
      </c>
      <c r="C15" s="642"/>
      <c r="D15" s="642"/>
      <c r="E15" s="129"/>
      <c r="F15" s="652"/>
      <c r="G15" s="665">
        <v>6.8300000000000001E-3</v>
      </c>
      <c r="I15" s="129"/>
      <c r="J15" s="129"/>
      <c r="K15" s="129"/>
      <c r="L15" s="129"/>
    </row>
    <row r="16" spans="2:12" ht="15.75">
      <c r="B16" s="647"/>
      <c r="C16" s="642"/>
      <c r="D16" s="642"/>
      <c r="E16" s="129"/>
      <c r="F16" s="652"/>
      <c r="G16" s="652"/>
      <c r="H16" s="641"/>
      <c r="I16" s="129"/>
      <c r="J16" s="129"/>
      <c r="K16" s="129"/>
      <c r="L16" s="129"/>
    </row>
    <row r="17" spans="2:12" ht="15.75">
      <c r="B17" s="647" t="s">
        <v>1000</v>
      </c>
      <c r="C17" s="642"/>
      <c r="D17" s="642"/>
      <c r="E17" s="129"/>
      <c r="F17" s="652"/>
      <c r="G17" s="652"/>
      <c r="H17" s="641"/>
      <c r="I17" s="129"/>
      <c r="J17" s="129"/>
      <c r="K17" s="129"/>
      <c r="L17" s="129"/>
    </row>
    <row r="18" spans="2:12" ht="15.75">
      <c r="B18" s="653" t="s">
        <v>414</v>
      </c>
      <c r="C18" s="642"/>
      <c r="D18" s="642"/>
      <c r="E18" s="642"/>
      <c r="F18" s="642"/>
      <c r="G18" s="642" t="s">
        <v>414</v>
      </c>
      <c r="H18" s="129"/>
      <c r="I18" s="129"/>
      <c r="J18" s="129"/>
      <c r="K18" s="129"/>
      <c r="L18" s="129"/>
    </row>
    <row r="19" spans="2:12" ht="15.75">
      <c r="B19" s="654"/>
      <c r="C19" s="642"/>
      <c r="D19" s="642"/>
      <c r="E19" s="642"/>
      <c r="F19" s="642"/>
      <c r="G19" s="129"/>
      <c r="H19" s="129"/>
      <c r="I19" s="649"/>
      <c r="J19" s="642"/>
      <c r="K19" s="642"/>
      <c r="L19" s="642"/>
    </row>
    <row r="20" spans="2:12" ht="15.75">
      <c r="B20" s="654" t="s">
        <v>572</v>
      </c>
      <c r="C20" s="642"/>
      <c r="D20" s="642"/>
      <c r="E20" s="642"/>
      <c r="F20" s="642"/>
      <c r="G20" s="129"/>
      <c r="H20" s="129"/>
      <c r="I20" s="649" t="s">
        <v>573</v>
      </c>
      <c r="J20" s="642"/>
      <c r="K20" s="642"/>
      <c r="L20" s="642"/>
    </row>
    <row r="21" spans="2:12" ht="15.75">
      <c r="B21" s="631" t="s">
        <v>574</v>
      </c>
      <c r="C21" s="631" t="str">
        <f>"Year "&amp;TCOS!L4-2</f>
        <v>Year 2024</v>
      </c>
      <c r="D21" s="631"/>
      <c r="E21" s="655">
        <f>I10/12</f>
        <v>-289794.74637693661</v>
      </c>
      <c r="F21" s="655"/>
      <c r="G21" s="656">
        <f>G15</f>
        <v>6.8300000000000001E-3</v>
      </c>
      <c r="H21" s="642">
        <v>12</v>
      </c>
      <c r="I21" s="655">
        <f>G21*E21*H21*-1</f>
        <v>23751.577413053725</v>
      </c>
      <c r="J21" s="655"/>
      <c r="K21" s="655"/>
      <c r="L21" s="655">
        <f>(-I21+E21)*-1</f>
        <v>313546.32378999033</v>
      </c>
    </row>
    <row r="22" spans="2:12" ht="15.75">
      <c r="B22" s="631" t="s">
        <v>575</v>
      </c>
      <c r="C22" s="631" t="str">
        <f>C21</f>
        <v>Year 2024</v>
      </c>
      <c r="D22" s="631"/>
      <c r="E22" s="655">
        <f>+E21</f>
        <v>-289794.74637693661</v>
      </c>
      <c r="F22" s="655"/>
      <c r="G22" s="656">
        <f>+G21</f>
        <v>6.8300000000000001E-3</v>
      </c>
      <c r="H22" s="642">
        <f t="shared" ref="H22:H32" si="0">+H21-1</f>
        <v>11</v>
      </c>
      <c r="I22" s="655">
        <f t="shared" ref="I22:I32" si="1">G22*E22*H22*-1</f>
        <v>21772.279295299246</v>
      </c>
      <c r="J22" s="655"/>
      <c r="K22" s="655"/>
      <c r="L22" s="655">
        <f t="shared" ref="L22:L32" si="2">(-I22+E22)*-1</f>
        <v>311567.02567223588</v>
      </c>
    </row>
    <row r="23" spans="2:12" ht="15.75">
      <c r="B23" s="631" t="s">
        <v>576</v>
      </c>
      <c r="C23" s="631" t="str">
        <f>C21</f>
        <v>Year 2024</v>
      </c>
      <c r="D23" s="631"/>
      <c r="E23" s="655">
        <f t="shared" ref="E23:E32" si="3">+E22</f>
        <v>-289794.74637693661</v>
      </c>
      <c r="F23" s="655"/>
      <c r="G23" s="656">
        <f t="shared" ref="G23:G32" si="4">+G22</f>
        <v>6.8300000000000001E-3</v>
      </c>
      <c r="H23" s="642">
        <f t="shared" si="0"/>
        <v>10</v>
      </c>
      <c r="I23" s="655">
        <f t="shared" si="1"/>
        <v>19792.981177544771</v>
      </c>
      <c r="J23" s="655"/>
      <c r="K23" s="655"/>
      <c r="L23" s="655">
        <f t="shared" si="2"/>
        <v>309587.72755448136</v>
      </c>
    </row>
    <row r="24" spans="2:12" ht="15.75">
      <c r="B24" s="631" t="s">
        <v>577</v>
      </c>
      <c r="C24" s="631" t="str">
        <f>C21</f>
        <v>Year 2024</v>
      </c>
      <c r="D24" s="631"/>
      <c r="E24" s="655">
        <f t="shared" si="3"/>
        <v>-289794.74637693661</v>
      </c>
      <c r="F24" s="655"/>
      <c r="G24" s="656">
        <f t="shared" si="4"/>
        <v>6.8300000000000001E-3</v>
      </c>
      <c r="H24" s="642">
        <f t="shared" si="0"/>
        <v>9</v>
      </c>
      <c r="I24" s="655">
        <f t="shared" si="1"/>
        <v>17813.683059790295</v>
      </c>
      <c r="J24" s="655"/>
      <c r="K24" s="655"/>
      <c r="L24" s="655">
        <f t="shared" si="2"/>
        <v>307608.4294367269</v>
      </c>
    </row>
    <row r="25" spans="2:12" ht="15.75">
      <c r="B25" s="631" t="s">
        <v>578</v>
      </c>
      <c r="C25" s="631" t="str">
        <f>C21</f>
        <v>Year 2024</v>
      </c>
      <c r="D25" s="631"/>
      <c r="E25" s="655">
        <f t="shared" si="3"/>
        <v>-289794.74637693661</v>
      </c>
      <c r="F25" s="655"/>
      <c r="G25" s="656">
        <f t="shared" si="4"/>
        <v>6.8300000000000001E-3</v>
      </c>
      <c r="H25" s="642">
        <f t="shared" si="0"/>
        <v>8</v>
      </c>
      <c r="I25" s="655">
        <f t="shared" si="1"/>
        <v>15834.384942035816</v>
      </c>
      <c r="J25" s="655"/>
      <c r="K25" s="655"/>
      <c r="L25" s="655">
        <f t="shared" si="2"/>
        <v>305629.13131897245</v>
      </c>
    </row>
    <row r="26" spans="2:12" ht="15.75">
      <c r="B26" s="631" t="s">
        <v>579</v>
      </c>
      <c r="C26" s="631" t="str">
        <f>C21</f>
        <v>Year 2024</v>
      </c>
      <c r="D26" s="631"/>
      <c r="E26" s="655">
        <f t="shared" si="3"/>
        <v>-289794.74637693661</v>
      </c>
      <c r="F26" s="655"/>
      <c r="G26" s="656">
        <f t="shared" si="4"/>
        <v>6.8300000000000001E-3</v>
      </c>
      <c r="H26" s="642">
        <f t="shared" si="0"/>
        <v>7</v>
      </c>
      <c r="I26" s="655">
        <f t="shared" si="1"/>
        <v>13855.086824281339</v>
      </c>
      <c r="J26" s="655"/>
      <c r="K26" s="655"/>
      <c r="L26" s="655">
        <f t="shared" si="2"/>
        <v>303649.83320121793</v>
      </c>
    </row>
    <row r="27" spans="2:12" ht="15.75">
      <c r="B27" s="631" t="s">
        <v>580</v>
      </c>
      <c r="C27" s="631" t="str">
        <f>C21</f>
        <v>Year 2024</v>
      </c>
      <c r="D27" s="631"/>
      <c r="E27" s="655">
        <f t="shared" si="3"/>
        <v>-289794.74637693661</v>
      </c>
      <c r="F27" s="655"/>
      <c r="G27" s="656">
        <f t="shared" si="4"/>
        <v>6.8300000000000001E-3</v>
      </c>
      <c r="H27" s="642">
        <f t="shared" si="0"/>
        <v>6</v>
      </c>
      <c r="I27" s="655">
        <f t="shared" si="1"/>
        <v>11875.788706526862</v>
      </c>
      <c r="J27" s="655"/>
      <c r="K27" s="655"/>
      <c r="L27" s="655">
        <f t="shared" si="2"/>
        <v>301670.53508346347</v>
      </c>
    </row>
    <row r="28" spans="2:12" ht="15.75">
      <c r="B28" s="631" t="s">
        <v>581</v>
      </c>
      <c r="C28" s="631" t="str">
        <f>C21</f>
        <v>Year 2024</v>
      </c>
      <c r="D28" s="631"/>
      <c r="E28" s="655">
        <f t="shared" si="3"/>
        <v>-289794.74637693661</v>
      </c>
      <c r="F28" s="655"/>
      <c r="G28" s="656">
        <f t="shared" si="4"/>
        <v>6.8300000000000001E-3</v>
      </c>
      <c r="H28" s="642">
        <f t="shared" si="0"/>
        <v>5</v>
      </c>
      <c r="I28" s="655">
        <f t="shared" si="1"/>
        <v>9896.4905887723853</v>
      </c>
      <c r="J28" s="655"/>
      <c r="K28" s="655"/>
      <c r="L28" s="655">
        <f t="shared" si="2"/>
        <v>299691.23696570902</v>
      </c>
    </row>
    <row r="29" spans="2:12" ht="15.75">
      <c r="B29" s="631" t="s">
        <v>582</v>
      </c>
      <c r="C29" s="631" t="str">
        <f>C21</f>
        <v>Year 2024</v>
      </c>
      <c r="D29" s="631"/>
      <c r="E29" s="655">
        <f t="shared" si="3"/>
        <v>-289794.74637693661</v>
      </c>
      <c r="F29" s="655"/>
      <c r="G29" s="656">
        <f t="shared" si="4"/>
        <v>6.8300000000000001E-3</v>
      </c>
      <c r="H29" s="642">
        <f t="shared" si="0"/>
        <v>4</v>
      </c>
      <c r="I29" s="655">
        <f t="shared" si="1"/>
        <v>7917.1924710179082</v>
      </c>
      <c r="J29" s="655"/>
      <c r="K29" s="655"/>
      <c r="L29" s="655">
        <f t="shared" si="2"/>
        <v>297711.9388479545</v>
      </c>
    </row>
    <row r="30" spans="2:12" ht="15.75">
      <c r="B30" s="631" t="s">
        <v>583</v>
      </c>
      <c r="C30" s="631" t="str">
        <f>C21</f>
        <v>Year 2024</v>
      </c>
      <c r="D30" s="631"/>
      <c r="E30" s="655">
        <f t="shared" si="3"/>
        <v>-289794.74637693661</v>
      </c>
      <c r="F30" s="655"/>
      <c r="G30" s="656">
        <f t="shared" si="4"/>
        <v>6.8300000000000001E-3</v>
      </c>
      <c r="H30" s="642">
        <f t="shared" si="0"/>
        <v>3</v>
      </c>
      <c r="I30" s="655">
        <f t="shared" si="1"/>
        <v>5937.8943532634312</v>
      </c>
      <c r="J30" s="655"/>
      <c r="K30" s="655"/>
      <c r="L30" s="655">
        <f t="shared" si="2"/>
        <v>295732.64073020004</v>
      </c>
    </row>
    <row r="31" spans="2:12" ht="15.75">
      <c r="B31" s="631" t="s">
        <v>584</v>
      </c>
      <c r="C31" s="631" t="str">
        <f>C21</f>
        <v>Year 2024</v>
      </c>
      <c r="D31" s="631"/>
      <c r="E31" s="655">
        <f t="shared" si="3"/>
        <v>-289794.74637693661</v>
      </c>
      <c r="F31" s="655"/>
      <c r="G31" s="656">
        <f t="shared" si="4"/>
        <v>6.8300000000000001E-3</v>
      </c>
      <c r="H31" s="642">
        <f t="shared" si="0"/>
        <v>2</v>
      </c>
      <c r="I31" s="655">
        <f t="shared" si="1"/>
        <v>3958.5962355089541</v>
      </c>
      <c r="J31" s="655"/>
      <c r="K31" s="655"/>
      <c r="L31" s="655">
        <f t="shared" si="2"/>
        <v>293753.34261244559</v>
      </c>
    </row>
    <row r="32" spans="2:12" ht="15.75">
      <c r="B32" s="631" t="s">
        <v>585</v>
      </c>
      <c r="C32" s="631" t="str">
        <f>C21</f>
        <v>Year 2024</v>
      </c>
      <c r="D32" s="631"/>
      <c r="E32" s="655">
        <f t="shared" si="3"/>
        <v>-289794.74637693661</v>
      </c>
      <c r="F32" s="655"/>
      <c r="G32" s="656">
        <f t="shared" si="4"/>
        <v>6.8300000000000001E-3</v>
      </c>
      <c r="H32" s="642">
        <f t="shared" si="0"/>
        <v>1</v>
      </c>
      <c r="I32" s="657">
        <f t="shared" si="1"/>
        <v>1979.2981177544771</v>
      </c>
      <c r="J32" s="655"/>
      <c r="K32" s="655"/>
      <c r="L32" s="655">
        <f t="shared" si="2"/>
        <v>291774.04449469107</v>
      </c>
    </row>
    <row r="33" spans="2:12" ht="15.75">
      <c r="B33" s="631"/>
      <c r="C33" s="631"/>
      <c r="D33" s="631"/>
      <c r="E33" s="655"/>
      <c r="F33" s="655"/>
      <c r="G33" s="656"/>
      <c r="H33" s="642"/>
      <c r="I33" s="655">
        <f>SUM(I21:I32)</f>
        <v>154385.25318484922</v>
      </c>
      <c r="J33" s="655"/>
      <c r="K33" s="655"/>
      <c r="L33" s="658">
        <f>SUM(L21:L32)</f>
        <v>3631922.2097080881</v>
      </c>
    </row>
    <row r="34" spans="2:12" ht="15.75">
      <c r="B34" s="631"/>
      <c r="C34" s="631"/>
      <c r="D34" s="631"/>
      <c r="E34" s="655"/>
      <c r="F34" s="655"/>
      <c r="G34" s="656"/>
      <c r="H34" s="642"/>
      <c r="I34" s="655"/>
      <c r="J34" s="655" t="s">
        <v>414</v>
      </c>
      <c r="K34" s="655"/>
      <c r="L34" s="129"/>
    </row>
    <row r="35" spans="2:12" ht="15.75">
      <c r="B35" s="631"/>
      <c r="C35" s="631"/>
      <c r="D35" s="631"/>
      <c r="E35" s="641"/>
      <c r="F35" s="641"/>
      <c r="G35" s="656"/>
      <c r="H35" s="642"/>
      <c r="I35" s="659" t="s">
        <v>586</v>
      </c>
      <c r="J35" s="655"/>
      <c r="K35" s="655"/>
      <c r="L35" s="655"/>
    </row>
    <row r="36" spans="2:12" ht="15.75">
      <c r="B36" s="631" t="s">
        <v>587</v>
      </c>
      <c r="C36" s="631" t="str">
        <f>"Year "&amp;TCOS!L4-1</f>
        <v>Year 2025</v>
      </c>
      <c r="D36" s="631"/>
      <c r="E36" s="641">
        <f>L33</f>
        <v>3631922.2097080881</v>
      </c>
      <c r="F36" s="641"/>
      <c r="G36" s="656">
        <f>G32</f>
        <v>6.8300000000000001E-3</v>
      </c>
      <c r="H36" s="642">
        <v>12</v>
      </c>
      <c r="I36" s="655">
        <f>+H36*G36*E36</f>
        <v>297672.34430767491</v>
      </c>
      <c r="J36" s="655"/>
      <c r="K36" s="655"/>
      <c r="L36" s="658">
        <f>+E36+I36</f>
        <v>3929594.5540157631</v>
      </c>
    </row>
    <row r="37" spans="2:12" ht="15.75">
      <c r="B37" s="631"/>
      <c r="C37" s="631"/>
      <c r="D37" s="631"/>
      <c r="E37" s="641"/>
      <c r="F37" s="641"/>
      <c r="G37" s="656"/>
      <c r="H37" s="631"/>
      <c r="I37" s="655"/>
      <c r="J37" s="655"/>
      <c r="K37" s="655"/>
      <c r="L37" s="655"/>
    </row>
    <row r="38" spans="2:12" ht="15.75">
      <c r="B38" s="660" t="s">
        <v>588</v>
      </c>
      <c r="C38" s="631"/>
      <c r="D38" s="631"/>
      <c r="E38" s="655"/>
      <c r="F38" s="655"/>
      <c r="G38" s="656"/>
      <c r="H38" s="631"/>
      <c r="I38" s="659" t="s">
        <v>573</v>
      </c>
      <c r="J38" s="655"/>
      <c r="K38" s="655"/>
      <c r="L38" s="655"/>
    </row>
    <row r="39" spans="2:12" ht="15.75">
      <c r="B39" s="631" t="s">
        <v>574</v>
      </c>
      <c r="C39" s="631" t="str">
        <f>"Year "&amp;TCOS!L4</f>
        <v>Year 2026</v>
      </c>
      <c r="D39" s="631"/>
      <c r="E39" s="661">
        <f>-L36</f>
        <v>-3929594.5540157631</v>
      </c>
      <c r="F39" s="641"/>
      <c r="G39" s="656">
        <f>G15</f>
        <v>6.8300000000000001E-3</v>
      </c>
      <c r="H39" s="631"/>
      <c r="I39" s="655">
        <f xml:space="preserve"> -G39*E39</f>
        <v>26839.130803927663</v>
      </c>
      <c r="J39" s="655">
        <f>PMT(G39,12,L$36)</f>
        <v>-342185.47446722386</v>
      </c>
      <c r="K39" s="655"/>
      <c r="L39" s="655">
        <f>(+E39+E39*G39-J39)*-1</f>
        <v>3614248.2103524669</v>
      </c>
    </row>
    <row r="40" spans="2:12" ht="15.75">
      <c r="B40" s="631" t="s">
        <v>575</v>
      </c>
      <c r="C40" s="631" t="str">
        <f>+C39</f>
        <v>Year 2026</v>
      </c>
      <c r="D40" s="631"/>
      <c r="E40" s="641">
        <f>-L39</f>
        <v>-3614248.2103524669</v>
      </c>
      <c r="F40" s="641"/>
      <c r="G40" s="656">
        <f>+G39</f>
        <v>6.8300000000000001E-3</v>
      </c>
      <c r="H40" s="631"/>
      <c r="I40" s="655">
        <f xml:space="preserve"> -G40*E40</f>
        <v>24685.315276707348</v>
      </c>
      <c r="J40" s="655">
        <f>J39</f>
        <v>-342185.47446722386</v>
      </c>
      <c r="K40" s="655"/>
      <c r="L40" s="655">
        <f t="shared" ref="L40:L50" si="5">(+E40+E40*G40-J40)*-1</f>
        <v>3296748.0511619505</v>
      </c>
    </row>
    <row r="41" spans="2:12" ht="15.75">
      <c r="B41" s="631" t="s">
        <v>576</v>
      </c>
      <c r="C41" s="631" t="str">
        <f>+C40</f>
        <v>Year 2026</v>
      </c>
      <c r="D41" s="631"/>
      <c r="E41" s="641">
        <f t="shared" ref="E41:E50" si="6">-L40</f>
        <v>-3296748.0511619505</v>
      </c>
      <c r="F41" s="641"/>
      <c r="G41" s="656">
        <f t="shared" ref="G41:G50" si="7">+G40</f>
        <v>6.8300000000000001E-3</v>
      </c>
      <c r="H41" s="631"/>
      <c r="I41" s="655">
        <f t="shared" ref="I41:I50" si="8" xml:space="preserve"> -G41*E41</f>
        <v>22516.789189436124</v>
      </c>
      <c r="J41" s="655">
        <f t="shared" ref="J41:J50" si="9">J40</f>
        <v>-342185.47446722386</v>
      </c>
      <c r="K41" s="655"/>
      <c r="L41" s="655">
        <f t="shared" si="5"/>
        <v>2977079.3658841625</v>
      </c>
    </row>
    <row r="42" spans="2:12" ht="15.75">
      <c r="B42" s="631" t="s">
        <v>577</v>
      </c>
      <c r="C42" s="631" t="str">
        <f>+C41</f>
        <v>Year 2026</v>
      </c>
      <c r="D42" s="631"/>
      <c r="E42" s="641">
        <f t="shared" si="6"/>
        <v>-2977079.3658841625</v>
      </c>
      <c r="F42" s="641"/>
      <c r="G42" s="656">
        <f t="shared" si="7"/>
        <v>6.8300000000000001E-3</v>
      </c>
      <c r="H42" s="631"/>
      <c r="I42" s="655">
        <f t="shared" si="8"/>
        <v>20333.45206898883</v>
      </c>
      <c r="J42" s="655">
        <f t="shared" si="9"/>
        <v>-342185.47446722386</v>
      </c>
      <c r="K42" s="655"/>
      <c r="L42" s="655">
        <f t="shared" si="5"/>
        <v>2655227.3434859272</v>
      </c>
    </row>
    <row r="43" spans="2:12" ht="15.75">
      <c r="B43" s="631" t="s">
        <v>578</v>
      </c>
      <c r="C43" s="631" t="str">
        <f>+C42</f>
        <v>Year 2026</v>
      </c>
      <c r="D43" s="631"/>
      <c r="E43" s="641">
        <f t="shared" si="6"/>
        <v>-2655227.3434859272</v>
      </c>
      <c r="F43" s="641"/>
      <c r="G43" s="656">
        <f t="shared" si="7"/>
        <v>6.8300000000000001E-3</v>
      </c>
      <c r="H43" s="631"/>
      <c r="I43" s="655">
        <f t="shared" si="8"/>
        <v>18135.202756008883</v>
      </c>
      <c r="J43" s="655">
        <f>J42</f>
        <v>-342185.47446722386</v>
      </c>
      <c r="K43" s="655"/>
      <c r="L43" s="655">
        <f t="shared" si="5"/>
        <v>2331177.0717747123</v>
      </c>
    </row>
    <row r="44" spans="2:12" ht="15.75">
      <c r="B44" s="631" t="s">
        <v>579</v>
      </c>
      <c r="C44" s="631" t="str">
        <f>C43</f>
        <v>Year 2026</v>
      </c>
      <c r="D44" s="129"/>
      <c r="E44" s="641">
        <f t="shared" si="6"/>
        <v>-2331177.0717747123</v>
      </c>
      <c r="F44" s="641"/>
      <c r="G44" s="656">
        <f t="shared" si="7"/>
        <v>6.8300000000000001E-3</v>
      </c>
      <c r="H44" s="631"/>
      <c r="I44" s="655">
        <f t="shared" si="8"/>
        <v>15921.939400221285</v>
      </c>
      <c r="J44" s="655">
        <f t="shared" si="9"/>
        <v>-342185.47446722386</v>
      </c>
      <c r="K44" s="655"/>
      <c r="L44" s="655">
        <f t="shared" si="5"/>
        <v>2004913.5367077095</v>
      </c>
    </row>
    <row r="45" spans="2:12" ht="15.75">
      <c r="B45" s="631" t="s">
        <v>580</v>
      </c>
      <c r="C45" s="631" t="str">
        <f t="shared" ref="C45:C50" si="10">+C44</f>
        <v>Year 2026</v>
      </c>
      <c r="D45" s="631"/>
      <c r="E45" s="641">
        <f t="shared" si="6"/>
        <v>-2004913.5367077095</v>
      </c>
      <c r="F45" s="641"/>
      <c r="G45" s="656">
        <f t="shared" si="7"/>
        <v>6.8300000000000001E-3</v>
      </c>
      <c r="H45" s="631"/>
      <c r="I45" s="655">
        <f t="shared" si="8"/>
        <v>13693.559455713656</v>
      </c>
      <c r="J45" s="655">
        <f t="shared" si="9"/>
        <v>-342185.47446722386</v>
      </c>
      <c r="K45" s="655"/>
      <c r="L45" s="655">
        <f t="shared" si="5"/>
        <v>1676421.6216961993</v>
      </c>
    </row>
    <row r="46" spans="2:12" ht="15.75">
      <c r="B46" s="631" t="s">
        <v>581</v>
      </c>
      <c r="C46" s="631" t="str">
        <f t="shared" si="10"/>
        <v>Year 2026</v>
      </c>
      <c r="D46" s="631"/>
      <c r="E46" s="641">
        <f t="shared" si="6"/>
        <v>-1676421.6216961993</v>
      </c>
      <c r="F46" s="641"/>
      <c r="G46" s="656">
        <f t="shared" si="7"/>
        <v>6.8300000000000001E-3</v>
      </c>
      <c r="H46" s="631"/>
      <c r="I46" s="655">
        <f t="shared" si="8"/>
        <v>11449.959676185041</v>
      </c>
      <c r="J46" s="655">
        <f t="shared" si="9"/>
        <v>-342185.47446722386</v>
      </c>
      <c r="K46" s="655"/>
      <c r="L46" s="655">
        <f t="shared" si="5"/>
        <v>1345686.1069051605</v>
      </c>
    </row>
    <row r="47" spans="2:12" ht="15.75">
      <c r="B47" s="631" t="s">
        <v>582</v>
      </c>
      <c r="C47" s="631" t="str">
        <f t="shared" si="10"/>
        <v>Year 2026</v>
      </c>
      <c r="D47" s="631"/>
      <c r="E47" s="641">
        <f t="shared" si="6"/>
        <v>-1345686.1069051605</v>
      </c>
      <c r="F47" s="641"/>
      <c r="G47" s="656">
        <f t="shared" si="7"/>
        <v>6.8300000000000001E-3</v>
      </c>
      <c r="H47" s="631"/>
      <c r="I47" s="655">
        <f t="shared" si="8"/>
        <v>9191.0361101622457</v>
      </c>
      <c r="J47" s="655">
        <f>J46</f>
        <v>-342185.47446722386</v>
      </c>
      <c r="K47" s="655"/>
      <c r="L47" s="655">
        <f t="shared" si="5"/>
        <v>1012691.6685480989</v>
      </c>
    </row>
    <row r="48" spans="2:12" ht="15.75">
      <c r="B48" s="631" t="s">
        <v>583</v>
      </c>
      <c r="C48" s="631" t="str">
        <f t="shared" si="10"/>
        <v>Year 2026</v>
      </c>
      <c r="D48" s="631"/>
      <c r="E48" s="641">
        <f t="shared" si="6"/>
        <v>-1012691.6685480989</v>
      </c>
      <c r="F48" s="641"/>
      <c r="G48" s="656">
        <f t="shared" si="7"/>
        <v>6.8300000000000001E-3</v>
      </c>
      <c r="H48" s="631"/>
      <c r="I48" s="655">
        <f t="shared" si="8"/>
        <v>6916.6840961835151</v>
      </c>
      <c r="J48" s="655">
        <f t="shared" si="9"/>
        <v>-342185.47446722386</v>
      </c>
      <c r="K48" s="655"/>
      <c r="L48" s="655">
        <f t="shared" si="5"/>
        <v>677422.87817705853</v>
      </c>
    </row>
    <row r="49" spans="2:12" ht="15.75">
      <c r="B49" s="631" t="s">
        <v>584</v>
      </c>
      <c r="C49" s="631" t="str">
        <f t="shared" si="10"/>
        <v>Year 2026</v>
      </c>
      <c r="D49" s="631"/>
      <c r="E49" s="641">
        <f t="shared" si="6"/>
        <v>-677422.87817705853</v>
      </c>
      <c r="F49" s="641"/>
      <c r="G49" s="656">
        <f t="shared" si="7"/>
        <v>6.8300000000000001E-3</v>
      </c>
      <c r="H49" s="631"/>
      <c r="I49" s="655">
        <f t="shared" si="8"/>
        <v>4626.79825794931</v>
      </c>
      <c r="J49" s="655">
        <f t="shared" si="9"/>
        <v>-342185.47446722386</v>
      </c>
      <c r="K49" s="655"/>
      <c r="L49" s="655">
        <f t="shared" si="5"/>
        <v>339864.20196778397</v>
      </c>
    </row>
    <row r="50" spans="2:12" ht="15.75">
      <c r="B50" s="631" t="s">
        <v>585</v>
      </c>
      <c r="C50" s="631" t="str">
        <f t="shared" si="10"/>
        <v>Year 2026</v>
      </c>
      <c r="D50" s="631"/>
      <c r="E50" s="641">
        <f t="shared" si="6"/>
        <v>-339864.20196778397</v>
      </c>
      <c r="F50" s="641"/>
      <c r="G50" s="656">
        <f t="shared" si="7"/>
        <v>6.8300000000000001E-3</v>
      </c>
      <c r="H50" s="631"/>
      <c r="I50" s="657">
        <f t="shared" si="8"/>
        <v>2321.2724994399646</v>
      </c>
      <c r="J50" s="655">
        <f t="shared" si="9"/>
        <v>-342185.47446722386</v>
      </c>
      <c r="K50" s="655"/>
      <c r="L50" s="655">
        <f t="shared" si="5"/>
        <v>5.8207660913467407E-11</v>
      </c>
    </row>
    <row r="51" spans="2:12" ht="15.75">
      <c r="B51" s="631"/>
      <c r="C51" s="631"/>
      <c r="D51" s="631"/>
      <c r="E51" s="641"/>
      <c r="F51" s="641"/>
      <c r="G51" s="656"/>
      <c r="H51" s="631"/>
      <c r="I51" s="655">
        <f>SUM(I39:I50)</f>
        <v>176631.13959092385</v>
      </c>
      <c r="J51" s="655"/>
      <c r="K51" s="655"/>
      <c r="L51" s="655"/>
    </row>
    <row r="52" spans="2:12" ht="15">
      <c r="B52" s="129"/>
      <c r="C52" s="129"/>
      <c r="D52" s="129"/>
      <c r="E52" s="129"/>
      <c r="F52" s="129"/>
      <c r="G52" s="129"/>
      <c r="H52" s="129"/>
      <c r="I52" s="129"/>
      <c r="J52" s="662"/>
      <c r="K52" s="129"/>
      <c r="L52" s="129"/>
    </row>
    <row r="53" spans="2:12" ht="15.75">
      <c r="B53" s="631" t="s">
        <v>589</v>
      </c>
      <c r="C53" s="129"/>
      <c r="D53" s="129"/>
      <c r="E53" s="129"/>
      <c r="F53" s="129"/>
      <c r="G53" s="129"/>
      <c r="H53" s="129"/>
      <c r="I53" s="129"/>
      <c r="J53" s="663">
        <f>(SUM(J39:J50)*-1)</f>
        <v>4106225.6936066872</v>
      </c>
      <c r="K53" s="129"/>
      <c r="L53" s="129"/>
    </row>
    <row r="54" spans="2:12" ht="15.75">
      <c r="B54" s="631" t="s">
        <v>590</v>
      </c>
      <c r="C54" s="129"/>
      <c r="D54" s="129"/>
      <c r="E54" s="129"/>
      <c r="F54" s="129"/>
      <c r="G54" s="129"/>
      <c r="H54" s="129"/>
      <c r="I54" s="129"/>
      <c r="J54" s="664">
        <f>+I10</f>
        <v>-3477536.9565232396</v>
      </c>
      <c r="K54" s="129"/>
      <c r="L54" s="129"/>
    </row>
    <row r="55" spans="2:12" ht="15.75">
      <c r="B55" s="631" t="s">
        <v>591</v>
      </c>
      <c r="C55" s="129"/>
      <c r="D55" s="129"/>
      <c r="E55" s="129"/>
      <c r="F55" s="129"/>
      <c r="G55" s="129"/>
      <c r="H55" s="129"/>
      <c r="I55" s="129"/>
      <c r="J55" s="663">
        <f>(J53+J54)</f>
        <v>628688.73708344763</v>
      </c>
      <c r="K55" s="129"/>
      <c r="L55" s="129"/>
    </row>
    <row r="57" spans="2:12" ht="52.9" customHeight="1">
      <c r="B57" s="1225" t="s">
        <v>592</v>
      </c>
      <c r="C57" s="1225"/>
      <c r="D57" s="1225"/>
      <c r="E57" s="1225"/>
      <c r="F57" s="1225"/>
      <c r="G57" s="1225"/>
      <c r="H57" s="1225"/>
      <c r="I57" s="1225"/>
      <c r="J57" s="1225"/>
      <c r="K57" s="940"/>
      <c r="L57" s="940"/>
    </row>
  </sheetData>
  <mergeCells count="5">
    <mergeCell ref="B3:L3"/>
    <mergeCell ref="B1:L1"/>
    <mergeCell ref="B2:L2"/>
    <mergeCell ref="E4:H4"/>
    <mergeCell ref="B57:J57"/>
  </mergeCells>
  <pageMargins left="0.7" right="0.7" top="0.75" bottom="0.7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view="pageBreakPreview" topLeftCell="A8" zoomScale="60" zoomScaleNormal="100" workbookViewId="0">
      <selection activeCell="E14" sqref="E14"/>
    </sheetView>
  </sheetViews>
  <sheetFormatPr defaultRowHeight="12.75"/>
  <cols>
    <col min="2" max="2" width="35.140625" customWidth="1"/>
    <col min="5" max="5" width="33.85546875" customWidth="1"/>
    <col min="7" max="7" width="14.85546875" customWidth="1"/>
    <col min="9" max="9" width="22.28515625" customWidth="1"/>
    <col min="10" max="10" width="18" customWidth="1"/>
    <col min="12" max="12" width="18.42578125" customWidth="1"/>
  </cols>
  <sheetData>
    <row r="1" spans="2:12" ht="15.75">
      <c r="B1" s="1224" t="s">
        <v>616</v>
      </c>
      <c r="C1" s="1224"/>
      <c r="D1" s="1224"/>
      <c r="E1" s="1224"/>
      <c r="F1" s="1224"/>
      <c r="G1" s="1224"/>
      <c r="H1" s="1224"/>
      <c r="I1" s="1224"/>
      <c r="J1" s="1224"/>
      <c r="K1" s="1224"/>
      <c r="L1" s="1224"/>
    </row>
    <row r="2" spans="2:12" ht="15.75">
      <c r="B2" s="1223" t="s">
        <v>563</v>
      </c>
      <c r="C2" s="1223"/>
      <c r="D2" s="1223"/>
      <c r="E2" s="1223"/>
      <c r="F2" s="1223"/>
      <c r="G2" s="1223"/>
      <c r="H2" s="1223"/>
      <c r="I2" s="1223"/>
      <c r="J2" s="1223"/>
      <c r="K2" s="1223"/>
      <c r="L2" s="1223"/>
    </row>
    <row r="3" spans="2:12" ht="15.75">
      <c r="B3" s="1223" t="s">
        <v>593</v>
      </c>
      <c r="C3" s="1223"/>
      <c r="D3" s="1223"/>
      <c r="E3" s="1223"/>
      <c r="F3" s="1223"/>
      <c r="G3" s="1223"/>
      <c r="H3" s="1223"/>
      <c r="I3" s="1223"/>
      <c r="J3" s="1223"/>
      <c r="K3" s="1223"/>
      <c r="L3" s="1223"/>
    </row>
    <row r="4" spans="2:12" ht="15.75">
      <c r="B4" s="129"/>
      <c r="C4" s="129"/>
      <c r="D4" s="129"/>
      <c r="E4" s="1223"/>
      <c r="F4" s="1223"/>
      <c r="G4" s="1223"/>
      <c r="H4" s="1223"/>
      <c r="I4" s="129"/>
      <c r="J4" s="129"/>
      <c r="K4" s="129"/>
      <c r="L4" s="129"/>
    </row>
    <row r="7" spans="2:12" ht="16.5" thickBot="1">
      <c r="B7" s="630"/>
      <c r="C7" s="631"/>
      <c r="D7" s="631"/>
      <c r="E7" s="631"/>
      <c r="F7" s="631"/>
      <c r="G7" s="631"/>
      <c r="H7" s="631"/>
      <c r="I7" s="631"/>
      <c r="J7" s="631"/>
      <c r="K7" s="631"/>
      <c r="L7" s="631"/>
    </row>
    <row r="8" spans="2:12" ht="31.5">
      <c r="B8" s="632" t="str">
        <f>'WS R Interest'!B8</f>
        <v>Reconciliation Revenue Requirement For Year 2024 Available May 25, 2025</v>
      </c>
      <c r="C8" s="631"/>
      <c r="D8" s="631"/>
      <c r="E8" s="632" t="str">
        <f>'WS R Interest'!E8</f>
        <v>2024 Forecasted Revenue Requirement For Year 2024</v>
      </c>
      <c r="F8" s="631"/>
      <c r="G8" s="631"/>
      <c r="H8" s="129"/>
      <c r="I8" s="632" t="s">
        <v>565</v>
      </c>
      <c r="J8" s="129"/>
      <c r="K8" s="129"/>
      <c r="L8" s="129"/>
    </row>
    <row r="9" spans="2:12" ht="15.75">
      <c r="B9" s="633" t="s">
        <v>414</v>
      </c>
      <c r="C9" s="631"/>
      <c r="D9" s="631"/>
      <c r="E9" s="633"/>
      <c r="F9" s="631"/>
      <c r="G9" s="631"/>
      <c r="H9" s="129"/>
      <c r="I9" s="634"/>
      <c r="J9" s="129"/>
      <c r="K9" s="129"/>
      <c r="L9" s="129"/>
    </row>
    <row r="10" spans="2:12" ht="16.5" thickBot="1">
      <c r="B10" s="629">
        <v>50211729.713011764</v>
      </c>
      <c r="C10" s="635" t="str">
        <f>"-"</f>
        <v>-</v>
      </c>
      <c r="D10" s="636"/>
      <c r="E10" s="629">
        <v>52749142.447029829</v>
      </c>
      <c r="F10" s="637"/>
      <c r="G10" s="638" t="str">
        <f>"="</f>
        <v>=</v>
      </c>
      <c r="H10" s="639"/>
      <c r="I10" s="640">
        <f>IF(B10=0,0,E10-B10)</f>
        <v>2537412.734018065</v>
      </c>
      <c r="J10" s="129"/>
      <c r="K10" s="129"/>
      <c r="L10" s="129"/>
    </row>
    <row r="11" spans="2:12" ht="15.75">
      <c r="B11" s="641"/>
      <c r="C11" s="642"/>
      <c r="D11" s="642"/>
      <c r="E11" s="641"/>
      <c r="F11" s="641"/>
      <c r="G11" s="642"/>
      <c r="H11" s="641"/>
      <c r="I11" s="129"/>
      <c r="J11" s="129"/>
      <c r="K11" s="129"/>
      <c r="L11" s="129"/>
    </row>
    <row r="12" spans="2:12" ht="16.5" thickBot="1">
      <c r="B12" s="643"/>
      <c r="C12" s="644"/>
      <c r="D12" s="644"/>
      <c r="E12" s="643"/>
      <c r="F12" s="643"/>
      <c r="G12" s="644"/>
      <c r="H12" s="643"/>
      <c r="I12" s="645"/>
      <c r="J12" s="645"/>
      <c r="K12" s="645"/>
      <c r="L12" s="645"/>
    </row>
    <row r="13" spans="2:12" ht="15.75">
      <c r="B13" s="646"/>
      <c r="C13" s="642"/>
      <c r="D13" s="642"/>
      <c r="E13" s="641"/>
      <c r="F13" s="641"/>
      <c r="G13" s="642"/>
      <c r="H13" s="641"/>
      <c r="I13" s="129"/>
      <c r="J13" s="129"/>
      <c r="K13" s="129"/>
      <c r="L13" s="129"/>
    </row>
    <row r="14" spans="2:12" ht="47.25">
      <c r="B14" s="647" t="s">
        <v>622</v>
      </c>
      <c r="C14" s="642"/>
      <c r="D14" s="642"/>
      <c r="E14" s="648" t="s">
        <v>566</v>
      </c>
      <c r="F14" s="641"/>
      <c r="G14" s="648" t="s">
        <v>567</v>
      </c>
      <c r="H14" s="649" t="s">
        <v>568</v>
      </c>
      <c r="I14" s="650" t="s">
        <v>569</v>
      </c>
      <c r="J14" s="648" t="s">
        <v>570</v>
      </c>
      <c r="K14" s="651"/>
      <c r="L14" s="648" t="s">
        <v>571</v>
      </c>
    </row>
    <row r="15" spans="2:12" ht="15.75">
      <c r="B15" s="647" t="s">
        <v>822</v>
      </c>
      <c r="C15" s="642"/>
      <c r="D15" s="642"/>
      <c r="E15" s="129"/>
      <c r="F15" s="652"/>
      <c r="G15" s="665">
        <v>6.8300000000000001E-3</v>
      </c>
      <c r="I15" s="129"/>
      <c r="J15" s="129"/>
      <c r="K15" s="129"/>
      <c r="L15" s="129"/>
    </row>
    <row r="16" spans="2:12" ht="15.75">
      <c r="B16" s="647"/>
      <c r="C16" s="642"/>
      <c r="D16" s="642"/>
      <c r="E16" s="129"/>
      <c r="F16" s="652"/>
      <c r="G16" s="652"/>
      <c r="H16" s="641"/>
      <c r="I16" s="129"/>
      <c r="J16" s="129"/>
      <c r="K16" s="129"/>
      <c r="L16" s="129"/>
    </row>
    <row r="17" spans="2:12" ht="15.75">
      <c r="B17" s="647" t="str">
        <f>'WS R Interest'!B17</f>
        <v>An over or under collection will be recovered prorata over 2024, held for 2025 and returned prorate over 2026</v>
      </c>
      <c r="C17" s="642"/>
      <c r="D17" s="642"/>
      <c r="E17" s="129"/>
      <c r="F17" s="652"/>
      <c r="G17" s="652"/>
      <c r="H17" s="641"/>
      <c r="I17" s="129"/>
      <c r="J17" s="129"/>
      <c r="K17" s="129"/>
      <c r="L17" s="129"/>
    </row>
    <row r="18" spans="2:12" ht="15.75">
      <c r="B18" s="653" t="s">
        <v>414</v>
      </c>
      <c r="C18" s="642"/>
      <c r="D18" s="642"/>
      <c r="E18" s="642"/>
      <c r="F18" s="642"/>
      <c r="G18" s="642" t="s">
        <v>414</v>
      </c>
      <c r="H18" s="129"/>
      <c r="I18" s="129"/>
      <c r="J18" s="129"/>
      <c r="K18" s="129"/>
      <c r="L18" s="129"/>
    </row>
    <row r="19" spans="2:12" ht="15.75">
      <c r="B19" s="654"/>
      <c r="C19" s="642"/>
      <c r="D19" s="642"/>
      <c r="E19" s="642"/>
      <c r="F19" s="642"/>
      <c r="G19" s="129"/>
      <c r="H19" s="129"/>
      <c r="I19" s="649"/>
      <c r="J19" s="642"/>
      <c r="K19" s="642"/>
      <c r="L19" s="642"/>
    </row>
    <row r="20" spans="2:12" ht="15.75">
      <c r="B20" s="654" t="s">
        <v>572</v>
      </c>
      <c r="C20" s="642"/>
      <c r="D20" s="642"/>
      <c r="E20" s="642"/>
      <c r="F20" s="642"/>
      <c r="G20" s="129"/>
      <c r="H20" s="129"/>
      <c r="I20" s="649" t="s">
        <v>573</v>
      </c>
      <c r="J20" s="642"/>
      <c r="K20" s="642"/>
      <c r="L20" s="642"/>
    </row>
    <row r="21" spans="2:12" ht="15.75">
      <c r="B21" s="631" t="s">
        <v>574</v>
      </c>
      <c r="C21" s="631" t="str">
        <f>"Year "&amp;TCOS!L4-2</f>
        <v>Year 2024</v>
      </c>
      <c r="D21" s="631"/>
      <c r="E21" s="655">
        <f>I10/12</f>
        <v>211451.06116817208</v>
      </c>
      <c r="F21" s="655"/>
      <c r="G21" s="656">
        <f>G15</f>
        <v>6.8300000000000001E-3</v>
      </c>
      <c r="H21" s="642">
        <v>12</v>
      </c>
      <c r="I21" s="655">
        <f>G21*E21*H21*-1</f>
        <v>-17330.528973343382</v>
      </c>
      <c r="J21" s="655"/>
      <c r="K21" s="655"/>
      <c r="L21" s="655">
        <f>(-I21+E21)*-1</f>
        <v>-228781.59014151545</v>
      </c>
    </row>
    <row r="22" spans="2:12" ht="15.75">
      <c r="B22" s="631" t="s">
        <v>575</v>
      </c>
      <c r="C22" s="631" t="str">
        <f>C21</f>
        <v>Year 2024</v>
      </c>
      <c r="D22" s="631"/>
      <c r="E22" s="655">
        <f>+E21</f>
        <v>211451.06116817208</v>
      </c>
      <c r="F22" s="655"/>
      <c r="G22" s="656">
        <f>+G21</f>
        <v>6.8300000000000001E-3</v>
      </c>
      <c r="H22" s="642">
        <f t="shared" ref="H22:H32" si="0">+H21-1</f>
        <v>11</v>
      </c>
      <c r="I22" s="655">
        <f t="shared" ref="I22:I32" si="1">G22*E22*H22*-1</f>
        <v>-15886.318225564768</v>
      </c>
      <c r="J22" s="655"/>
      <c r="K22" s="655"/>
      <c r="L22" s="655">
        <f t="shared" ref="L22:L32" si="2">(-I22+E22)*-1</f>
        <v>-227337.37939373683</v>
      </c>
    </row>
    <row r="23" spans="2:12" ht="15.75">
      <c r="B23" s="631" t="s">
        <v>576</v>
      </c>
      <c r="C23" s="631" t="str">
        <f>C21</f>
        <v>Year 2024</v>
      </c>
      <c r="D23" s="631"/>
      <c r="E23" s="655">
        <f t="shared" ref="E23:E32" si="3">+E22</f>
        <v>211451.06116817208</v>
      </c>
      <c r="F23" s="655"/>
      <c r="G23" s="656">
        <f t="shared" ref="G23:G32" si="4">+G22</f>
        <v>6.8300000000000001E-3</v>
      </c>
      <c r="H23" s="642">
        <f t="shared" si="0"/>
        <v>10</v>
      </c>
      <c r="I23" s="655">
        <f t="shared" si="1"/>
        <v>-14442.107477786154</v>
      </c>
      <c r="J23" s="655"/>
      <c r="K23" s="655"/>
      <c r="L23" s="655">
        <f t="shared" si="2"/>
        <v>-225893.16864595824</v>
      </c>
    </row>
    <row r="24" spans="2:12" ht="15.75">
      <c r="B24" s="631" t="s">
        <v>577</v>
      </c>
      <c r="C24" s="631" t="str">
        <f>C21</f>
        <v>Year 2024</v>
      </c>
      <c r="D24" s="631"/>
      <c r="E24" s="655">
        <f t="shared" si="3"/>
        <v>211451.06116817208</v>
      </c>
      <c r="F24" s="655"/>
      <c r="G24" s="656">
        <f t="shared" si="4"/>
        <v>6.8300000000000001E-3</v>
      </c>
      <c r="H24" s="642">
        <f t="shared" si="0"/>
        <v>9</v>
      </c>
      <c r="I24" s="655">
        <f t="shared" si="1"/>
        <v>-12997.896730007538</v>
      </c>
      <c r="J24" s="655"/>
      <c r="K24" s="655"/>
      <c r="L24" s="655">
        <f t="shared" si="2"/>
        <v>-224448.95789817962</v>
      </c>
    </row>
    <row r="25" spans="2:12" ht="15.75">
      <c r="B25" s="631" t="s">
        <v>578</v>
      </c>
      <c r="C25" s="631" t="str">
        <f>C21</f>
        <v>Year 2024</v>
      </c>
      <c r="D25" s="631"/>
      <c r="E25" s="655">
        <f t="shared" si="3"/>
        <v>211451.06116817208</v>
      </c>
      <c r="F25" s="655"/>
      <c r="G25" s="656">
        <f t="shared" si="4"/>
        <v>6.8300000000000001E-3</v>
      </c>
      <c r="H25" s="642">
        <f t="shared" si="0"/>
        <v>8</v>
      </c>
      <c r="I25" s="655">
        <f t="shared" si="1"/>
        <v>-11553.685982228923</v>
      </c>
      <c r="J25" s="655"/>
      <c r="K25" s="655"/>
      <c r="L25" s="655">
        <f t="shared" si="2"/>
        <v>-223004.747150401</v>
      </c>
    </row>
    <row r="26" spans="2:12" ht="15.75">
      <c r="B26" s="631" t="s">
        <v>579</v>
      </c>
      <c r="C26" s="631" t="str">
        <f>C21</f>
        <v>Year 2024</v>
      </c>
      <c r="D26" s="631"/>
      <c r="E26" s="655">
        <f t="shared" si="3"/>
        <v>211451.06116817208</v>
      </c>
      <c r="F26" s="655"/>
      <c r="G26" s="656">
        <f t="shared" si="4"/>
        <v>6.8300000000000001E-3</v>
      </c>
      <c r="H26" s="642">
        <f t="shared" si="0"/>
        <v>7</v>
      </c>
      <c r="I26" s="655">
        <f t="shared" si="1"/>
        <v>-10109.475234450307</v>
      </c>
      <c r="J26" s="655"/>
      <c r="K26" s="655"/>
      <c r="L26" s="655">
        <f t="shared" si="2"/>
        <v>-221560.53640262238</v>
      </c>
    </row>
    <row r="27" spans="2:12" ht="15.75">
      <c r="B27" s="631" t="s">
        <v>580</v>
      </c>
      <c r="C27" s="631" t="str">
        <f>C21</f>
        <v>Year 2024</v>
      </c>
      <c r="D27" s="631"/>
      <c r="E27" s="655">
        <f t="shared" si="3"/>
        <v>211451.06116817208</v>
      </c>
      <c r="F27" s="655"/>
      <c r="G27" s="656">
        <f t="shared" si="4"/>
        <v>6.8300000000000001E-3</v>
      </c>
      <c r="H27" s="642">
        <f t="shared" si="0"/>
        <v>6</v>
      </c>
      <c r="I27" s="655">
        <f t="shared" si="1"/>
        <v>-8665.264486671691</v>
      </c>
      <c r="J27" s="655"/>
      <c r="K27" s="655"/>
      <c r="L27" s="655">
        <f t="shared" si="2"/>
        <v>-220116.32565484376</v>
      </c>
    </row>
    <row r="28" spans="2:12" ht="15.75">
      <c r="B28" s="631" t="s">
        <v>581</v>
      </c>
      <c r="C28" s="631" t="str">
        <f>C21</f>
        <v>Year 2024</v>
      </c>
      <c r="D28" s="631"/>
      <c r="E28" s="655">
        <f t="shared" si="3"/>
        <v>211451.06116817208</v>
      </c>
      <c r="F28" s="655"/>
      <c r="G28" s="656">
        <f t="shared" si="4"/>
        <v>6.8300000000000001E-3</v>
      </c>
      <c r="H28" s="642">
        <f t="shared" si="0"/>
        <v>5</v>
      </c>
      <c r="I28" s="655">
        <f t="shared" si="1"/>
        <v>-7221.053738893077</v>
      </c>
      <c r="J28" s="655"/>
      <c r="K28" s="655"/>
      <c r="L28" s="655">
        <f t="shared" si="2"/>
        <v>-218672.11490706514</v>
      </c>
    </row>
    <row r="29" spans="2:12" ht="15.75">
      <c r="B29" s="631" t="s">
        <v>582</v>
      </c>
      <c r="C29" s="631" t="str">
        <f>C21</f>
        <v>Year 2024</v>
      </c>
      <c r="D29" s="631"/>
      <c r="E29" s="655">
        <f t="shared" si="3"/>
        <v>211451.06116817208</v>
      </c>
      <c r="F29" s="655"/>
      <c r="G29" s="656">
        <f t="shared" si="4"/>
        <v>6.8300000000000001E-3</v>
      </c>
      <c r="H29" s="642">
        <f t="shared" si="0"/>
        <v>4</v>
      </c>
      <c r="I29" s="655">
        <f t="shared" si="1"/>
        <v>-5776.8429911144613</v>
      </c>
      <c r="J29" s="655"/>
      <c r="K29" s="655"/>
      <c r="L29" s="655">
        <f t="shared" si="2"/>
        <v>-217227.90415928653</v>
      </c>
    </row>
    <row r="30" spans="2:12" ht="15.75">
      <c r="B30" s="631" t="s">
        <v>583</v>
      </c>
      <c r="C30" s="631" t="str">
        <f>C21</f>
        <v>Year 2024</v>
      </c>
      <c r="D30" s="631"/>
      <c r="E30" s="655">
        <f t="shared" si="3"/>
        <v>211451.06116817208</v>
      </c>
      <c r="F30" s="655"/>
      <c r="G30" s="656">
        <f t="shared" si="4"/>
        <v>6.8300000000000001E-3</v>
      </c>
      <c r="H30" s="642">
        <f t="shared" si="0"/>
        <v>3</v>
      </c>
      <c r="I30" s="655">
        <f t="shared" si="1"/>
        <v>-4332.6322433358455</v>
      </c>
      <c r="J30" s="655"/>
      <c r="K30" s="655"/>
      <c r="L30" s="655">
        <f t="shared" si="2"/>
        <v>-215783.69341150793</v>
      </c>
    </row>
    <row r="31" spans="2:12" ht="15.75">
      <c r="B31" s="631" t="s">
        <v>584</v>
      </c>
      <c r="C31" s="631" t="str">
        <f>C21</f>
        <v>Year 2024</v>
      </c>
      <c r="D31" s="631"/>
      <c r="E31" s="655">
        <f t="shared" si="3"/>
        <v>211451.06116817208</v>
      </c>
      <c r="F31" s="655"/>
      <c r="G31" s="656">
        <f t="shared" si="4"/>
        <v>6.8300000000000001E-3</v>
      </c>
      <c r="H31" s="642">
        <f t="shared" si="0"/>
        <v>2</v>
      </c>
      <c r="I31" s="655">
        <f t="shared" si="1"/>
        <v>-2888.4214955572306</v>
      </c>
      <c r="J31" s="655"/>
      <c r="K31" s="655"/>
      <c r="L31" s="655">
        <f t="shared" si="2"/>
        <v>-214339.48266372932</v>
      </c>
    </row>
    <row r="32" spans="2:12" ht="15.75">
      <c r="B32" s="631" t="s">
        <v>585</v>
      </c>
      <c r="C32" s="631" t="str">
        <f>C21</f>
        <v>Year 2024</v>
      </c>
      <c r="D32" s="631"/>
      <c r="E32" s="655">
        <f t="shared" si="3"/>
        <v>211451.06116817208</v>
      </c>
      <c r="F32" s="655"/>
      <c r="G32" s="656">
        <f t="shared" si="4"/>
        <v>6.8300000000000001E-3</v>
      </c>
      <c r="H32" s="642">
        <f t="shared" si="0"/>
        <v>1</v>
      </c>
      <c r="I32" s="657">
        <f t="shared" si="1"/>
        <v>-1444.2107477786153</v>
      </c>
      <c r="J32" s="655"/>
      <c r="K32" s="655"/>
      <c r="L32" s="655">
        <f t="shared" si="2"/>
        <v>-212895.2719159507</v>
      </c>
    </row>
    <row r="33" spans="2:12" ht="15.75">
      <c r="B33" s="631"/>
      <c r="C33" s="631"/>
      <c r="D33" s="631"/>
      <c r="E33" s="655"/>
      <c r="F33" s="655"/>
      <c r="G33" s="656"/>
      <c r="H33" s="642"/>
      <c r="I33" s="655">
        <f>SUM(I21:I32)</f>
        <v>-112648.43832673199</v>
      </c>
      <c r="J33" s="655"/>
      <c r="K33" s="655"/>
      <c r="L33" s="658">
        <f>SUM(L21:L32)</f>
        <v>-2650061.1723447973</v>
      </c>
    </row>
    <row r="34" spans="2:12" ht="15.75">
      <c r="B34" s="631"/>
      <c r="C34" s="631"/>
      <c r="D34" s="631"/>
      <c r="E34" s="655"/>
      <c r="F34" s="655"/>
      <c r="G34" s="656"/>
      <c r="H34" s="642"/>
      <c r="I34" s="655"/>
      <c r="J34" s="655" t="s">
        <v>414</v>
      </c>
      <c r="K34" s="655"/>
      <c r="L34" s="129"/>
    </row>
    <row r="35" spans="2:12" ht="15.75">
      <c r="B35" s="631"/>
      <c r="C35" s="631"/>
      <c r="D35" s="631"/>
      <c r="E35" s="641"/>
      <c r="F35" s="641"/>
      <c r="G35" s="656"/>
      <c r="H35" s="642"/>
      <c r="I35" s="659" t="s">
        <v>586</v>
      </c>
      <c r="J35" s="655"/>
      <c r="K35" s="655"/>
      <c r="L35" s="655"/>
    </row>
    <row r="36" spans="2:12" ht="15.75">
      <c r="B36" s="631" t="s">
        <v>587</v>
      </c>
      <c r="C36" s="631" t="str">
        <f>"Year "&amp;TCOS!L4-1</f>
        <v>Year 2025</v>
      </c>
      <c r="D36" s="631"/>
      <c r="E36" s="641">
        <f>L33</f>
        <v>-2650061.1723447973</v>
      </c>
      <c r="F36" s="641"/>
      <c r="G36" s="656">
        <f>G32</f>
        <v>6.8300000000000001E-3</v>
      </c>
      <c r="H36" s="642">
        <v>12</v>
      </c>
      <c r="I36" s="655">
        <f>+H36*G36*E36</f>
        <v>-217199.01368537961</v>
      </c>
      <c r="J36" s="655"/>
      <c r="K36" s="655"/>
      <c r="L36" s="658">
        <f>+E36+I36</f>
        <v>-2867260.1860301769</v>
      </c>
    </row>
    <row r="37" spans="2:12" ht="15.75">
      <c r="B37" s="631"/>
      <c r="C37" s="631"/>
      <c r="D37" s="631"/>
      <c r="E37" s="641"/>
      <c r="F37" s="641"/>
      <c r="G37" s="656"/>
      <c r="H37" s="631"/>
      <c r="I37" s="655"/>
      <c r="J37" s="655"/>
      <c r="K37" s="655"/>
      <c r="L37" s="655"/>
    </row>
    <row r="38" spans="2:12" ht="15.75">
      <c r="B38" s="660" t="s">
        <v>588</v>
      </c>
      <c r="C38" s="631"/>
      <c r="D38" s="631"/>
      <c r="E38" s="655"/>
      <c r="F38" s="655"/>
      <c r="G38" s="656"/>
      <c r="H38" s="631"/>
      <c r="I38" s="659" t="s">
        <v>573</v>
      </c>
      <c r="J38" s="655"/>
      <c r="K38" s="655"/>
      <c r="L38" s="655"/>
    </row>
    <row r="39" spans="2:12" ht="15.75">
      <c r="B39" s="631" t="s">
        <v>574</v>
      </c>
      <c r="C39" s="631" t="str">
        <f>"Year "&amp;TCOS!L4</f>
        <v>Year 2026</v>
      </c>
      <c r="D39" s="631"/>
      <c r="E39" s="661">
        <f>-L36</f>
        <v>2867260.1860301769</v>
      </c>
      <c r="F39" s="641"/>
      <c r="G39" s="656">
        <f>G15</f>
        <v>6.8300000000000001E-3</v>
      </c>
      <c r="H39" s="631"/>
      <c r="I39" s="655">
        <f xml:space="preserve"> -G39*E39</f>
        <v>-19583.387070586108</v>
      </c>
      <c r="J39" s="655">
        <f>PMT(G39,12,L$36)</f>
        <v>249678.37615080862</v>
      </c>
      <c r="K39" s="655"/>
      <c r="L39" s="655">
        <f>(+E39+E39*G39-J39)*-1</f>
        <v>-2637165.1969499541</v>
      </c>
    </row>
    <row r="40" spans="2:12" ht="15.75">
      <c r="B40" s="631" t="s">
        <v>575</v>
      </c>
      <c r="C40" s="631" t="str">
        <f>+C39</f>
        <v>Year 2026</v>
      </c>
      <c r="D40" s="631"/>
      <c r="E40" s="641">
        <f>-L39</f>
        <v>2637165.1969499541</v>
      </c>
      <c r="F40" s="641"/>
      <c r="G40" s="656">
        <f>+G39</f>
        <v>6.8300000000000001E-3</v>
      </c>
      <c r="H40" s="631"/>
      <c r="I40" s="655">
        <f xml:space="preserve"> -G40*E40</f>
        <v>-18011.838295168189</v>
      </c>
      <c r="J40" s="655">
        <f>J39</f>
        <v>249678.37615080862</v>
      </c>
      <c r="K40" s="655"/>
      <c r="L40" s="655">
        <f t="shared" ref="L40:L50" si="5">(+E40+E40*G40-J40)*-1</f>
        <v>-2405498.6590943136</v>
      </c>
    </row>
    <row r="41" spans="2:12" ht="15.75">
      <c r="B41" s="631" t="s">
        <v>576</v>
      </c>
      <c r="C41" s="631" t="str">
        <f>+C40</f>
        <v>Year 2026</v>
      </c>
      <c r="D41" s="631"/>
      <c r="E41" s="641">
        <f t="shared" ref="E41:E50" si="6">-L40</f>
        <v>2405498.6590943136</v>
      </c>
      <c r="F41" s="641"/>
      <c r="G41" s="656">
        <f t="shared" ref="G41:G50" si="7">+G40</f>
        <v>6.8300000000000001E-3</v>
      </c>
      <c r="H41" s="631"/>
      <c r="I41" s="655">
        <f t="shared" ref="I41:I50" si="8" xml:space="preserve"> -G41*E41</f>
        <v>-16429.555841614161</v>
      </c>
      <c r="J41" s="655">
        <f t="shared" ref="J41:J50" si="9">J40</f>
        <v>249678.37615080862</v>
      </c>
      <c r="K41" s="655"/>
      <c r="L41" s="655">
        <f t="shared" si="5"/>
        <v>-2172249.8387851189</v>
      </c>
    </row>
    <row r="42" spans="2:12" ht="15.75">
      <c r="B42" s="631" t="s">
        <v>577</v>
      </c>
      <c r="C42" s="631" t="str">
        <f>+C41</f>
        <v>Year 2026</v>
      </c>
      <c r="D42" s="631"/>
      <c r="E42" s="641">
        <f t="shared" si="6"/>
        <v>2172249.8387851189</v>
      </c>
      <c r="F42" s="641"/>
      <c r="G42" s="656">
        <f t="shared" si="7"/>
        <v>6.8300000000000001E-3</v>
      </c>
      <c r="H42" s="631"/>
      <c r="I42" s="655">
        <f t="shared" si="8"/>
        <v>-14836.466398902363</v>
      </c>
      <c r="J42" s="655">
        <f t="shared" si="9"/>
        <v>249678.37615080862</v>
      </c>
      <c r="K42" s="655"/>
      <c r="L42" s="655">
        <f t="shared" si="5"/>
        <v>-1937407.9290332126</v>
      </c>
    </row>
    <row r="43" spans="2:12" ht="15.75">
      <c r="B43" s="631" t="s">
        <v>578</v>
      </c>
      <c r="C43" s="631" t="str">
        <f>+C42</f>
        <v>Year 2026</v>
      </c>
      <c r="D43" s="631"/>
      <c r="E43" s="641">
        <f t="shared" si="6"/>
        <v>1937407.9290332126</v>
      </c>
      <c r="F43" s="641"/>
      <c r="G43" s="656">
        <f t="shared" si="7"/>
        <v>6.8300000000000001E-3</v>
      </c>
      <c r="H43" s="631"/>
      <c r="I43" s="655">
        <f t="shared" si="8"/>
        <v>-13232.496155296842</v>
      </c>
      <c r="J43" s="655">
        <f>J42</f>
        <v>249678.37615080862</v>
      </c>
      <c r="K43" s="655"/>
      <c r="L43" s="655">
        <f t="shared" si="5"/>
        <v>-1700962.049037701</v>
      </c>
    </row>
    <row r="44" spans="2:12" ht="15.75">
      <c r="B44" s="631" t="s">
        <v>579</v>
      </c>
      <c r="C44" s="631" t="str">
        <f>C43</f>
        <v>Year 2026</v>
      </c>
      <c r="D44" s="129"/>
      <c r="E44" s="641">
        <f t="shared" si="6"/>
        <v>1700962.049037701</v>
      </c>
      <c r="F44" s="641"/>
      <c r="G44" s="656">
        <f t="shared" si="7"/>
        <v>6.8300000000000001E-3</v>
      </c>
      <c r="H44" s="631"/>
      <c r="I44" s="655">
        <f t="shared" si="8"/>
        <v>-11617.570794927498</v>
      </c>
      <c r="J44" s="655">
        <f t="shared" si="9"/>
        <v>249678.37615080862</v>
      </c>
      <c r="K44" s="655"/>
      <c r="L44" s="655">
        <f t="shared" si="5"/>
        <v>-1462901.2436818199</v>
      </c>
    </row>
    <row r="45" spans="2:12" ht="15.75">
      <c r="B45" s="631" t="s">
        <v>580</v>
      </c>
      <c r="C45" s="631" t="str">
        <f t="shared" ref="C45:C50" si="10">+C44</f>
        <v>Year 2026</v>
      </c>
      <c r="D45" s="631"/>
      <c r="E45" s="641">
        <f t="shared" si="6"/>
        <v>1462901.2436818199</v>
      </c>
      <c r="F45" s="641"/>
      <c r="G45" s="656">
        <f t="shared" si="7"/>
        <v>6.8300000000000001E-3</v>
      </c>
      <c r="H45" s="631"/>
      <c r="I45" s="655">
        <f t="shared" si="8"/>
        <v>-9991.61549434683</v>
      </c>
      <c r="J45" s="655">
        <f t="shared" si="9"/>
        <v>249678.37615080862</v>
      </c>
      <c r="K45" s="655"/>
      <c r="L45" s="655">
        <f t="shared" si="5"/>
        <v>-1223214.4830253583</v>
      </c>
    </row>
    <row r="46" spans="2:12" ht="15.75">
      <c r="B46" s="631" t="s">
        <v>581</v>
      </c>
      <c r="C46" s="631" t="str">
        <f t="shared" si="10"/>
        <v>Year 2026</v>
      </c>
      <c r="D46" s="631"/>
      <c r="E46" s="641">
        <f t="shared" si="6"/>
        <v>1223214.4830253583</v>
      </c>
      <c r="F46" s="641"/>
      <c r="G46" s="656">
        <f t="shared" si="7"/>
        <v>6.8300000000000001E-3</v>
      </c>
      <c r="H46" s="631"/>
      <c r="I46" s="655">
        <f t="shared" si="8"/>
        <v>-8354.5549190631973</v>
      </c>
      <c r="J46" s="655">
        <f t="shared" si="9"/>
        <v>249678.37615080862</v>
      </c>
      <c r="K46" s="655"/>
      <c r="L46" s="655">
        <f t="shared" si="5"/>
        <v>-981890.66179361276</v>
      </c>
    </row>
    <row r="47" spans="2:12" ht="15.75">
      <c r="B47" s="631" t="s">
        <v>582</v>
      </c>
      <c r="C47" s="631" t="str">
        <f t="shared" si="10"/>
        <v>Year 2026</v>
      </c>
      <c r="D47" s="631"/>
      <c r="E47" s="641">
        <f t="shared" si="6"/>
        <v>981890.66179361276</v>
      </c>
      <c r="F47" s="641"/>
      <c r="G47" s="656">
        <f t="shared" si="7"/>
        <v>6.8300000000000001E-3</v>
      </c>
      <c r="H47" s="631"/>
      <c r="I47" s="655">
        <f t="shared" si="8"/>
        <v>-6706.3132200503751</v>
      </c>
      <c r="J47" s="655">
        <f>J46</f>
        <v>249678.37615080862</v>
      </c>
      <c r="K47" s="655"/>
      <c r="L47" s="655">
        <f t="shared" si="5"/>
        <v>-738918.59886285453</v>
      </c>
    </row>
    <row r="48" spans="2:12" ht="15.75">
      <c r="B48" s="631" t="s">
        <v>583</v>
      </c>
      <c r="C48" s="631" t="str">
        <f t="shared" si="10"/>
        <v>Year 2026</v>
      </c>
      <c r="D48" s="631"/>
      <c r="E48" s="641">
        <f t="shared" si="6"/>
        <v>738918.59886285453</v>
      </c>
      <c r="F48" s="641"/>
      <c r="G48" s="656">
        <f t="shared" si="7"/>
        <v>6.8300000000000001E-3</v>
      </c>
      <c r="H48" s="631"/>
      <c r="I48" s="655">
        <f t="shared" si="8"/>
        <v>-5046.8140302332968</v>
      </c>
      <c r="J48" s="655">
        <f t="shared" si="9"/>
        <v>249678.37615080862</v>
      </c>
      <c r="K48" s="655"/>
      <c r="L48" s="655">
        <f t="shared" si="5"/>
        <v>-494287.03674227919</v>
      </c>
    </row>
    <row r="49" spans="2:12" ht="15.75">
      <c r="B49" s="631" t="s">
        <v>584</v>
      </c>
      <c r="C49" s="631" t="str">
        <f t="shared" si="10"/>
        <v>Year 2026</v>
      </c>
      <c r="D49" s="631"/>
      <c r="E49" s="641">
        <f t="shared" si="6"/>
        <v>494287.03674227919</v>
      </c>
      <c r="F49" s="641"/>
      <c r="G49" s="656">
        <f t="shared" si="7"/>
        <v>6.8300000000000001E-3</v>
      </c>
      <c r="H49" s="631"/>
      <c r="I49" s="655">
        <f t="shared" si="8"/>
        <v>-3375.9804609497669</v>
      </c>
      <c r="J49" s="655">
        <f t="shared" si="9"/>
        <v>249678.37615080862</v>
      </c>
      <c r="K49" s="655"/>
      <c r="L49" s="655">
        <f t="shared" si="5"/>
        <v>-247984.64105242034</v>
      </c>
    </row>
    <row r="50" spans="2:12" ht="15.75">
      <c r="B50" s="631" t="s">
        <v>585</v>
      </c>
      <c r="C50" s="631" t="str">
        <f t="shared" si="10"/>
        <v>Year 2026</v>
      </c>
      <c r="D50" s="631"/>
      <c r="E50" s="641">
        <f t="shared" si="6"/>
        <v>247984.64105242034</v>
      </c>
      <c r="F50" s="641"/>
      <c r="G50" s="656">
        <f t="shared" si="7"/>
        <v>6.8300000000000001E-3</v>
      </c>
      <c r="H50" s="631"/>
      <c r="I50" s="657">
        <f t="shared" si="8"/>
        <v>-1693.735098388031</v>
      </c>
      <c r="J50" s="655">
        <f t="shared" si="9"/>
        <v>249678.37615080862</v>
      </c>
      <c r="K50" s="655"/>
      <c r="L50" s="655">
        <f t="shared" si="5"/>
        <v>2.6193447411060333E-10</v>
      </c>
    </row>
    <row r="51" spans="2:12" ht="15.75">
      <c r="B51" s="631"/>
      <c r="C51" s="631"/>
      <c r="D51" s="631"/>
      <c r="E51" s="641"/>
      <c r="F51" s="641"/>
      <c r="G51" s="656"/>
      <c r="H51" s="631"/>
      <c r="I51" s="655">
        <f>SUM(I39:I50)</f>
        <v>-128880.32777952666</v>
      </c>
      <c r="J51" s="655"/>
      <c r="K51" s="655"/>
      <c r="L51" s="655"/>
    </row>
    <row r="52" spans="2:12" ht="15">
      <c r="B52" s="129"/>
      <c r="C52" s="129"/>
      <c r="D52" s="129"/>
      <c r="E52" s="129"/>
      <c r="F52" s="129"/>
      <c r="G52" s="129"/>
      <c r="H52" s="129"/>
      <c r="I52" s="129"/>
      <c r="J52" s="662"/>
      <c r="K52" s="129"/>
      <c r="L52" s="129"/>
    </row>
    <row r="53" spans="2:12" ht="15.75">
      <c r="B53" s="631" t="s">
        <v>589</v>
      </c>
      <c r="C53" s="129"/>
      <c r="D53" s="129"/>
      <c r="E53" s="129"/>
      <c r="F53" s="129"/>
      <c r="G53" s="129"/>
      <c r="H53" s="129"/>
      <c r="I53" s="129"/>
      <c r="J53" s="663">
        <f>(SUM(J39:J50)*-1)</f>
        <v>-2996140.5138097038</v>
      </c>
      <c r="K53" s="129"/>
      <c r="L53" s="129"/>
    </row>
    <row r="54" spans="2:12" ht="15.75">
      <c r="B54" s="631" t="s">
        <v>590</v>
      </c>
      <c r="C54" s="129"/>
      <c r="D54" s="129"/>
      <c r="E54" s="129"/>
      <c r="F54" s="129"/>
      <c r="G54" s="129"/>
      <c r="H54" s="129"/>
      <c r="I54" s="129"/>
      <c r="J54" s="664">
        <f>+I10</f>
        <v>2537412.734018065</v>
      </c>
      <c r="K54" s="129"/>
      <c r="L54" s="129"/>
    </row>
    <row r="55" spans="2:12" ht="15.75">
      <c r="B55" s="631" t="s">
        <v>591</v>
      </c>
      <c r="C55" s="129"/>
      <c r="D55" s="129"/>
      <c r="E55" s="129"/>
      <c r="F55" s="129"/>
      <c r="G55" s="129"/>
      <c r="H55" s="129"/>
      <c r="I55" s="129"/>
      <c r="J55" s="663">
        <f>(J53+J54)</f>
        <v>-458727.77979163872</v>
      </c>
      <c r="K55" s="129"/>
      <c r="L55" s="129"/>
    </row>
    <row r="57" spans="2:12" ht="50.25" customHeight="1">
      <c r="B57" s="1225" t="s">
        <v>592</v>
      </c>
      <c r="C57" s="1225"/>
      <c r="D57" s="1225"/>
      <c r="E57" s="1225"/>
      <c r="F57" s="1225"/>
      <c r="G57" s="1225"/>
      <c r="H57" s="1225"/>
      <c r="I57" s="1225"/>
      <c r="J57" s="1225"/>
      <c r="K57" s="940"/>
      <c r="L57" s="940"/>
    </row>
  </sheetData>
  <mergeCells count="5">
    <mergeCell ref="B1:L1"/>
    <mergeCell ref="B2:L2"/>
    <mergeCell ref="B3:L3"/>
    <mergeCell ref="E4:H4"/>
    <mergeCell ref="B57:J57"/>
  </mergeCells>
  <pageMargins left="0.7" right="0.7" top="0.75" bottom="0.75" header="0.3" footer="0.3"/>
  <pageSetup scale="4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7"/>
  <sheetViews>
    <sheetView view="pageBreakPreview" zoomScale="60" zoomScaleNormal="100" workbookViewId="0">
      <selection activeCell="E14" sqref="E14"/>
    </sheetView>
  </sheetViews>
  <sheetFormatPr defaultRowHeight="12.75"/>
  <cols>
    <col min="2" max="2" width="36.85546875" customWidth="1"/>
    <col min="5" max="5" width="27.28515625" customWidth="1"/>
    <col min="7" max="7" width="14.85546875" customWidth="1"/>
    <col min="9" max="9" width="22.28515625" customWidth="1"/>
    <col min="10" max="10" width="18" customWidth="1"/>
    <col min="12" max="12" width="18.42578125" customWidth="1"/>
  </cols>
  <sheetData>
    <row r="1" spans="2:12" ht="15.75">
      <c r="B1" s="1224" t="s">
        <v>616</v>
      </c>
      <c r="C1" s="1224"/>
      <c r="D1" s="1224"/>
      <c r="E1" s="1224"/>
      <c r="F1" s="1224"/>
      <c r="G1" s="1224"/>
      <c r="H1" s="1224"/>
      <c r="I1" s="1224"/>
      <c r="J1" s="1224"/>
      <c r="K1" s="1224"/>
      <c r="L1" s="1224"/>
    </row>
    <row r="2" spans="2:12" ht="15.75">
      <c r="B2" s="1223" t="s">
        <v>563</v>
      </c>
      <c r="C2" s="1223"/>
      <c r="D2" s="1223"/>
      <c r="E2" s="1223"/>
      <c r="F2" s="1223"/>
      <c r="G2" s="1223"/>
      <c r="H2" s="1223"/>
      <c r="I2" s="1223"/>
      <c r="J2" s="1223"/>
      <c r="K2" s="1223"/>
      <c r="L2" s="1223"/>
    </row>
    <row r="3" spans="2:12" ht="15.75">
      <c r="B3" s="1223" t="s">
        <v>593</v>
      </c>
      <c r="C3" s="1223"/>
      <c r="D3" s="1223"/>
      <c r="E3" s="1223"/>
      <c r="F3" s="1223"/>
      <c r="G3" s="1223"/>
      <c r="H3" s="1223"/>
      <c r="I3" s="1223"/>
      <c r="J3" s="1223"/>
      <c r="K3" s="1223"/>
      <c r="L3" s="1223"/>
    </row>
    <row r="4" spans="2:12" ht="15.75">
      <c r="B4" s="129"/>
      <c r="C4" s="129"/>
      <c r="D4" s="129"/>
      <c r="E4" s="1223"/>
      <c r="F4" s="1223"/>
      <c r="G4" s="1223"/>
      <c r="H4" s="1223"/>
      <c r="I4" s="129"/>
      <c r="J4" s="129"/>
      <c r="K4" s="129"/>
      <c r="L4" s="129"/>
    </row>
    <row r="7" spans="2:12" ht="16.5" thickBot="1">
      <c r="B7" s="630"/>
      <c r="C7" s="631"/>
      <c r="D7" s="631"/>
      <c r="E7" s="631"/>
      <c r="F7" s="631"/>
      <c r="G7" s="631"/>
      <c r="H7" s="631"/>
      <c r="I7" s="631"/>
      <c r="J7" s="631"/>
      <c r="K7" s="631"/>
      <c r="L7" s="631"/>
    </row>
    <row r="8" spans="2:12" ht="31.5">
      <c r="B8" s="632" t="str">
        <f>'WS R Interest'!B8</f>
        <v>Reconciliation Revenue Requirement For Year 2024 Available May 25, 2025</v>
      </c>
      <c r="C8" s="631"/>
      <c r="D8" s="631"/>
      <c r="E8" s="632" t="s">
        <v>1001</v>
      </c>
      <c r="F8" s="631"/>
      <c r="G8" s="631"/>
      <c r="H8" s="129"/>
      <c r="I8" s="632" t="s">
        <v>565</v>
      </c>
      <c r="J8" s="129"/>
      <c r="K8" s="129"/>
      <c r="L8" s="129"/>
    </row>
    <row r="9" spans="2:12" ht="15.75">
      <c r="B9" s="633" t="s">
        <v>414</v>
      </c>
      <c r="C9" s="631"/>
      <c r="D9" s="631"/>
      <c r="E9" s="633"/>
      <c r="F9" s="631"/>
      <c r="G9" s="631"/>
      <c r="H9" s="129"/>
      <c r="I9" s="634"/>
      <c r="J9" s="129"/>
      <c r="K9" s="129"/>
      <c r="L9" s="129"/>
    </row>
    <row r="10" spans="2:12" ht="16.5" thickBot="1">
      <c r="B10" s="629">
        <v>822183.2</v>
      </c>
      <c r="C10" s="635" t="str">
        <f>"-"</f>
        <v>-</v>
      </c>
      <c r="D10" s="636"/>
      <c r="E10" s="629">
        <v>809031.81765259546</v>
      </c>
      <c r="F10" s="637"/>
      <c r="G10" s="638" t="str">
        <f>"="</f>
        <v>=</v>
      </c>
      <c r="H10" s="639"/>
      <c r="I10" s="640">
        <f>IF(B10=0,0,E10-B10)</f>
        <v>-13151.382347404491</v>
      </c>
      <c r="J10" s="129"/>
      <c r="K10" s="129"/>
      <c r="L10" s="129"/>
    </row>
    <row r="11" spans="2:12" ht="15.75">
      <c r="B11" s="641"/>
      <c r="C11" s="642"/>
      <c r="D11" s="642"/>
      <c r="E11" s="641"/>
      <c r="F11" s="641"/>
      <c r="G11" s="642"/>
      <c r="H11" s="641"/>
      <c r="I11" s="129"/>
      <c r="J11" s="129"/>
      <c r="K11" s="129"/>
      <c r="L11" s="129"/>
    </row>
    <row r="12" spans="2:12" ht="16.5" thickBot="1">
      <c r="B12" s="643"/>
      <c r="C12" s="644"/>
      <c r="D12" s="644"/>
      <c r="E12" s="643"/>
      <c r="F12" s="643"/>
      <c r="G12" s="644"/>
      <c r="H12" s="643"/>
      <c r="I12" s="645"/>
      <c r="J12" s="645"/>
      <c r="K12" s="645"/>
      <c r="L12" s="645"/>
    </row>
    <row r="13" spans="2:12" ht="15.75">
      <c r="B13" s="646"/>
      <c r="C13" s="642"/>
      <c r="D13" s="642"/>
      <c r="E13" s="641"/>
      <c r="F13" s="641"/>
      <c r="G13" s="642"/>
      <c r="H13" s="641"/>
      <c r="I13" s="129"/>
      <c r="J13" s="129"/>
      <c r="K13" s="129"/>
      <c r="L13" s="129"/>
    </row>
    <row r="14" spans="2:12" ht="47.25">
      <c r="B14" s="647" t="s">
        <v>622</v>
      </c>
      <c r="C14" s="642"/>
      <c r="D14" s="642"/>
      <c r="E14" s="648" t="s">
        <v>566</v>
      </c>
      <c r="F14" s="641"/>
      <c r="G14" s="648" t="s">
        <v>567</v>
      </c>
      <c r="H14" s="649" t="s">
        <v>568</v>
      </c>
      <c r="I14" s="650" t="s">
        <v>569</v>
      </c>
      <c r="J14" s="648" t="s">
        <v>570</v>
      </c>
      <c r="K14" s="651"/>
      <c r="L14" s="648" t="s">
        <v>571</v>
      </c>
    </row>
    <row r="15" spans="2:12" ht="15.75">
      <c r="B15" s="647" t="s">
        <v>822</v>
      </c>
      <c r="C15" s="642"/>
      <c r="D15" s="642"/>
      <c r="E15" s="129"/>
      <c r="F15" s="652"/>
      <c r="G15" s="665">
        <v>6.8300000000000001E-3</v>
      </c>
      <c r="I15" s="129"/>
      <c r="J15" s="129"/>
      <c r="K15" s="129"/>
      <c r="L15" s="129"/>
    </row>
    <row r="16" spans="2:12" ht="15.75">
      <c r="B16" s="647"/>
      <c r="C16" s="642"/>
      <c r="D16" s="642"/>
      <c r="E16" s="129"/>
      <c r="F16" s="652"/>
      <c r="G16" s="652"/>
      <c r="H16" s="641"/>
      <c r="I16" s="129"/>
      <c r="J16" s="129"/>
      <c r="K16" s="129"/>
      <c r="L16" s="129"/>
    </row>
    <row r="17" spans="2:12" ht="15.75">
      <c r="B17" s="647" t="str">
        <f>'WS R Interest'!B17</f>
        <v>An over or under collection will be recovered prorata over 2024, held for 2025 and returned prorate over 2026</v>
      </c>
      <c r="C17" s="642"/>
      <c r="D17" s="642"/>
      <c r="E17" s="129"/>
      <c r="F17" s="652"/>
      <c r="G17" s="652"/>
      <c r="H17" s="641"/>
      <c r="I17" s="129"/>
      <c r="J17" s="129"/>
      <c r="K17" s="129"/>
      <c r="L17" s="129"/>
    </row>
    <row r="18" spans="2:12" ht="15.75">
      <c r="B18" s="653" t="s">
        <v>414</v>
      </c>
      <c r="C18" s="642"/>
      <c r="D18" s="642"/>
      <c r="E18" s="642"/>
      <c r="F18" s="642"/>
      <c r="G18" s="642" t="s">
        <v>414</v>
      </c>
      <c r="H18" s="129"/>
      <c r="I18" s="129"/>
      <c r="J18" s="129"/>
      <c r="K18" s="129"/>
      <c r="L18" s="129"/>
    </row>
    <row r="19" spans="2:12" ht="15.75">
      <c r="B19" s="654"/>
      <c r="C19" s="642"/>
      <c r="D19" s="642"/>
      <c r="E19" s="642"/>
      <c r="F19" s="642"/>
      <c r="G19" s="129"/>
      <c r="H19" s="129"/>
      <c r="I19" s="649"/>
      <c r="J19" s="642"/>
      <c r="K19" s="642"/>
      <c r="L19" s="642"/>
    </row>
    <row r="20" spans="2:12" ht="15.75">
      <c r="B20" s="654" t="s">
        <v>572</v>
      </c>
      <c r="C20" s="642"/>
      <c r="D20" s="642"/>
      <c r="E20" s="642"/>
      <c r="F20" s="642"/>
      <c r="G20" s="129"/>
      <c r="H20" s="129"/>
      <c r="I20" s="649" t="s">
        <v>573</v>
      </c>
      <c r="J20" s="642"/>
      <c r="K20" s="642"/>
      <c r="L20" s="642"/>
    </row>
    <row r="21" spans="2:12" ht="15.75">
      <c r="B21" s="631" t="s">
        <v>574</v>
      </c>
      <c r="C21" s="631" t="str">
        <f>"Year "&amp;TCOS!L4-2</f>
        <v>Year 2024</v>
      </c>
      <c r="D21" s="631"/>
      <c r="E21" s="655">
        <f>I10/12</f>
        <v>-1095.9485289503743</v>
      </c>
      <c r="F21" s="655"/>
      <c r="G21" s="656">
        <f>G15</f>
        <v>6.8300000000000001E-3</v>
      </c>
      <c r="H21" s="642">
        <v>12</v>
      </c>
      <c r="I21" s="655">
        <f>G21*E21*H21*-1</f>
        <v>89.823941432772685</v>
      </c>
      <c r="J21" s="655"/>
      <c r="K21" s="655"/>
      <c r="L21" s="655">
        <f>(-I21+E21)*-1</f>
        <v>1185.772470383147</v>
      </c>
    </row>
    <row r="22" spans="2:12" ht="15.75">
      <c r="B22" s="631" t="s">
        <v>575</v>
      </c>
      <c r="C22" s="631" t="str">
        <f>C21</f>
        <v>Year 2024</v>
      </c>
      <c r="D22" s="631"/>
      <c r="E22" s="655">
        <f>+E21</f>
        <v>-1095.9485289503743</v>
      </c>
      <c r="F22" s="655"/>
      <c r="G22" s="656">
        <f>+G21</f>
        <v>6.8300000000000001E-3</v>
      </c>
      <c r="H22" s="642">
        <f t="shared" ref="H22:H32" si="0">+H21-1</f>
        <v>11</v>
      </c>
      <c r="I22" s="655">
        <f t="shared" ref="I22:I32" si="1">G22*E22*H22*-1</f>
        <v>82.338612980041631</v>
      </c>
      <c r="J22" s="655"/>
      <c r="K22" s="655"/>
      <c r="L22" s="655">
        <f t="shared" ref="L22:L32" si="2">(-I22+E22)*-1</f>
        <v>1178.2871419304161</v>
      </c>
    </row>
    <row r="23" spans="2:12" ht="15.75">
      <c r="B23" s="631" t="s">
        <v>576</v>
      </c>
      <c r="C23" s="631" t="str">
        <f>C21</f>
        <v>Year 2024</v>
      </c>
      <c r="D23" s="631"/>
      <c r="E23" s="655">
        <f t="shared" ref="E23:E32" si="3">+E22</f>
        <v>-1095.9485289503743</v>
      </c>
      <c r="F23" s="655"/>
      <c r="G23" s="656">
        <f t="shared" ref="G23:G32" si="4">+G22</f>
        <v>6.8300000000000001E-3</v>
      </c>
      <c r="H23" s="642">
        <f t="shared" si="0"/>
        <v>10</v>
      </c>
      <c r="I23" s="655">
        <f t="shared" si="1"/>
        <v>74.853284527310564</v>
      </c>
      <c r="J23" s="655"/>
      <c r="K23" s="655"/>
      <c r="L23" s="655">
        <f t="shared" si="2"/>
        <v>1170.8018134776848</v>
      </c>
    </row>
    <row r="24" spans="2:12" ht="15.75">
      <c r="B24" s="631" t="s">
        <v>577</v>
      </c>
      <c r="C24" s="631" t="str">
        <f>C21</f>
        <v>Year 2024</v>
      </c>
      <c r="D24" s="631"/>
      <c r="E24" s="655">
        <f t="shared" si="3"/>
        <v>-1095.9485289503743</v>
      </c>
      <c r="F24" s="655"/>
      <c r="G24" s="656">
        <f t="shared" si="4"/>
        <v>6.8300000000000001E-3</v>
      </c>
      <c r="H24" s="642">
        <f t="shared" si="0"/>
        <v>9</v>
      </c>
      <c r="I24" s="655">
        <f t="shared" si="1"/>
        <v>67.36795607457951</v>
      </c>
      <c r="J24" s="655"/>
      <c r="K24" s="655"/>
      <c r="L24" s="655">
        <f t="shared" si="2"/>
        <v>1163.3164850249539</v>
      </c>
    </row>
    <row r="25" spans="2:12" ht="15.75">
      <c r="B25" s="631" t="s">
        <v>578</v>
      </c>
      <c r="C25" s="631" t="str">
        <f>C21</f>
        <v>Year 2024</v>
      </c>
      <c r="D25" s="631"/>
      <c r="E25" s="655">
        <f t="shared" si="3"/>
        <v>-1095.9485289503743</v>
      </c>
      <c r="F25" s="655"/>
      <c r="G25" s="656">
        <f t="shared" si="4"/>
        <v>6.8300000000000001E-3</v>
      </c>
      <c r="H25" s="642">
        <f t="shared" si="0"/>
        <v>8</v>
      </c>
      <c r="I25" s="655">
        <f t="shared" si="1"/>
        <v>59.882627621848457</v>
      </c>
      <c r="J25" s="655"/>
      <c r="K25" s="655"/>
      <c r="L25" s="655">
        <f t="shared" si="2"/>
        <v>1155.8311565722229</v>
      </c>
    </row>
    <row r="26" spans="2:12" ht="15.75">
      <c r="B26" s="631" t="s">
        <v>579</v>
      </c>
      <c r="C26" s="631" t="str">
        <f>C21</f>
        <v>Year 2024</v>
      </c>
      <c r="D26" s="631"/>
      <c r="E26" s="655">
        <f t="shared" si="3"/>
        <v>-1095.9485289503743</v>
      </c>
      <c r="F26" s="655"/>
      <c r="G26" s="656">
        <f t="shared" si="4"/>
        <v>6.8300000000000001E-3</v>
      </c>
      <c r="H26" s="642">
        <f t="shared" si="0"/>
        <v>7</v>
      </c>
      <c r="I26" s="655">
        <f t="shared" si="1"/>
        <v>52.397299169117403</v>
      </c>
      <c r="J26" s="655"/>
      <c r="K26" s="655"/>
      <c r="L26" s="655">
        <f t="shared" si="2"/>
        <v>1148.3458281194917</v>
      </c>
    </row>
    <row r="27" spans="2:12" ht="15.75">
      <c r="B27" s="631" t="s">
        <v>580</v>
      </c>
      <c r="C27" s="631" t="str">
        <f>C21</f>
        <v>Year 2024</v>
      </c>
      <c r="D27" s="631"/>
      <c r="E27" s="655">
        <f t="shared" si="3"/>
        <v>-1095.9485289503743</v>
      </c>
      <c r="F27" s="655"/>
      <c r="G27" s="656">
        <f t="shared" si="4"/>
        <v>6.8300000000000001E-3</v>
      </c>
      <c r="H27" s="642">
        <f t="shared" si="0"/>
        <v>6</v>
      </c>
      <c r="I27" s="655">
        <f t="shared" si="1"/>
        <v>44.911970716386342</v>
      </c>
      <c r="J27" s="655"/>
      <c r="K27" s="655"/>
      <c r="L27" s="655">
        <f t="shared" si="2"/>
        <v>1140.8604996667607</v>
      </c>
    </row>
    <row r="28" spans="2:12" ht="15.75">
      <c r="B28" s="631" t="s">
        <v>581</v>
      </c>
      <c r="C28" s="631" t="str">
        <f>C21</f>
        <v>Year 2024</v>
      </c>
      <c r="D28" s="631"/>
      <c r="E28" s="655">
        <f t="shared" si="3"/>
        <v>-1095.9485289503743</v>
      </c>
      <c r="F28" s="655"/>
      <c r="G28" s="656">
        <f t="shared" si="4"/>
        <v>6.8300000000000001E-3</v>
      </c>
      <c r="H28" s="642">
        <f t="shared" si="0"/>
        <v>5</v>
      </c>
      <c r="I28" s="655">
        <f t="shared" si="1"/>
        <v>37.426642263655282</v>
      </c>
      <c r="J28" s="655"/>
      <c r="K28" s="655"/>
      <c r="L28" s="655">
        <f t="shared" si="2"/>
        <v>1133.3751712140297</v>
      </c>
    </row>
    <row r="29" spans="2:12" ht="15.75">
      <c r="B29" s="631" t="s">
        <v>582</v>
      </c>
      <c r="C29" s="631" t="str">
        <f>C21</f>
        <v>Year 2024</v>
      </c>
      <c r="D29" s="631"/>
      <c r="E29" s="655">
        <f t="shared" si="3"/>
        <v>-1095.9485289503743</v>
      </c>
      <c r="F29" s="655"/>
      <c r="G29" s="656">
        <f t="shared" si="4"/>
        <v>6.8300000000000001E-3</v>
      </c>
      <c r="H29" s="642">
        <f t="shared" si="0"/>
        <v>4</v>
      </c>
      <c r="I29" s="655">
        <f t="shared" si="1"/>
        <v>29.941313810924228</v>
      </c>
      <c r="J29" s="655"/>
      <c r="K29" s="655"/>
      <c r="L29" s="655">
        <f t="shared" si="2"/>
        <v>1125.8898427612985</v>
      </c>
    </row>
    <row r="30" spans="2:12" ht="15.75">
      <c r="B30" s="631" t="s">
        <v>583</v>
      </c>
      <c r="C30" s="631" t="str">
        <f>C21</f>
        <v>Year 2024</v>
      </c>
      <c r="D30" s="631"/>
      <c r="E30" s="655">
        <f t="shared" si="3"/>
        <v>-1095.9485289503743</v>
      </c>
      <c r="F30" s="655"/>
      <c r="G30" s="656">
        <f t="shared" si="4"/>
        <v>6.8300000000000001E-3</v>
      </c>
      <c r="H30" s="642">
        <f t="shared" si="0"/>
        <v>3</v>
      </c>
      <c r="I30" s="655">
        <f t="shared" si="1"/>
        <v>22.455985358193171</v>
      </c>
      <c r="J30" s="655"/>
      <c r="K30" s="655"/>
      <c r="L30" s="655">
        <f t="shared" si="2"/>
        <v>1118.4045143085675</v>
      </c>
    </row>
    <row r="31" spans="2:12" ht="15.75">
      <c r="B31" s="631" t="s">
        <v>584</v>
      </c>
      <c r="C31" s="631" t="str">
        <f>C21</f>
        <v>Year 2024</v>
      </c>
      <c r="D31" s="631"/>
      <c r="E31" s="655">
        <f t="shared" si="3"/>
        <v>-1095.9485289503743</v>
      </c>
      <c r="F31" s="655"/>
      <c r="G31" s="656">
        <f t="shared" si="4"/>
        <v>6.8300000000000001E-3</v>
      </c>
      <c r="H31" s="642">
        <f t="shared" si="0"/>
        <v>2</v>
      </c>
      <c r="I31" s="655">
        <f t="shared" si="1"/>
        <v>14.970656905462114</v>
      </c>
      <c r="J31" s="655"/>
      <c r="K31" s="655"/>
      <c r="L31" s="655">
        <f t="shared" si="2"/>
        <v>1110.9191858558365</v>
      </c>
    </row>
    <row r="32" spans="2:12" ht="15.75">
      <c r="B32" s="631" t="s">
        <v>585</v>
      </c>
      <c r="C32" s="631" t="str">
        <f>C21</f>
        <v>Year 2024</v>
      </c>
      <c r="D32" s="631"/>
      <c r="E32" s="655">
        <f t="shared" si="3"/>
        <v>-1095.9485289503743</v>
      </c>
      <c r="F32" s="655"/>
      <c r="G32" s="656">
        <f t="shared" si="4"/>
        <v>6.8300000000000001E-3</v>
      </c>
      <c r="H32" s="642">
        <f t="shared" si="0"/>
        <v>1</v>
      </c>
      <c r="I32" s="657">
        <f t="shared" si="1"/>
        <v>7.4853284527310571</v>
      </c>
      <c r="J32" s="655"/>
      <c r="K32" s="655"/>
      <c r="L32" s="655">
        <f t="shared" si="2"/>
        <v>1103.4338574031053</v>
      </c>
    </row>
    <row r="33" spans="2:12" ht="15.75">
      <c r="B33" s="631"/>
      <c r="C33" s="631"/>
      <c r="D33" s="631"/>
      <c r="E33" s="655"/>
      <c r="F33" s="655"/>
      <c r="G33" s="656"/>
      <c r="H33" s="642"/>
      <c r="I33" s="655">
        <f>SUM(I21:I32)</f>
        <v>583.85561931302254</v>
      </c>
      <c r="J33" s="655"/>
      <c r="K33" s="655"/>
      <c r="L33" s="658">
        <f>SUM(L21:L32)</f>
        <v>13735.237966717516</v>
      </c>
    </row>
    <row r="34" spans="2:12" ht="15.75">
      <c r="B34" s="631"/>
      <c r="C34" s="631"/>
      <c r="D34" s="631"/>
      <c r="E34" s="655"/>
      <c r="F34" s="655"/>
      <c r="G34" s="656"/>
      <c r="H34" s="642"/>
      <c r="I34" s="655"/>
      <c r="J34" s="655" t="s">
        <v>414</v>
      </c>
      <c r="K34" s="655"/>
      <c r="L34" s="129"/>
    </row>
    <row r="35" spans="2:12" ht="15.75">
      <c r="B35" s="631"/>
      <c r="C35" s="631"/>
      <c r="D35" s="631"/>
      <c r="E35" s="641"/>
      <c r="F35" s="641"/>
      <c r="G35" s="656"/>
      <c r="H35" s="642"/>
      <c r="I35" s="659" t="s">
        <v>586</v>
      </c>
      <c r="J35" s="655"/>
      <c r="K35" s="655"/>
      <c r="L35" s="655"/>
    </row>
    <row r="36" spans="2:12" ht="15.75">
      <c r="B36" s="631" t="s">
        <v>587</v>
      </c>
      <c r="C36" s="631" t="str">
        <f>"Year "&amp;TCOS!L4-1</f>
        <v>Year 2025</v>
      </c>
      <c r="D36" s="631"/>
      <c r="E36" s="641">
        <f>L33</f>
        <v>13735.237966717516</v>
      </c>
      <c r="F36" s="641"/>
      <c r="G36" s="656">
        <f>G32</f>
        <v>6.8300000000000001E-3</v>
      </c>
      <c r="H36" s="642">
        <v>12</v>
      </c>
      <c r="I36" s="655">
        <f>+H36*G36*E36</f>
        <v>1125.7401037521677</v>
      </c>
      <c r="J36" s="655"/>
      <c r="K36" s="655"/>
      <c r="L36" s="658">
        <f>+E36+I36</f>
        <v>14860.978070469682</v>
      </c>
    </row>
    <row r="37" spans="2:12" ht="15.75">
      <c r="B37" s="631"/>
      <c r="C37" s="631"/>
      <c r="D37" s="631"/>
      <c r="E37" s="641"/>
      <c r="F37" s="641"/>
      <c r="G37" s="656"/>
      <c r="H37" s="631"/>
      <c r="I37" s="655"/>
      <c r="J37" s="655"/>
      <c r="K37" s="655"/>
      <c r="L37" s="655"/>
    </row>
    <row r="38" spans="2:12" ht="15.75">
      <c r="B38" s="660" t="s">
        <v>588</v>
      </c>
      <c r="C38" s="631"/>
      <c r="D38" s="631"/>
      <c r="E38" s="655"/>
      <c r="F38" s="655"/>
      <c r="G38" s="656"/>
      <c r="H38" s="631"/>
      <c r="I38" s="659" t="s">
        <v>573</v>
      </c>
      <c r="J38" s="655"/>
      <c r="K38" s="655"/>
      <c r="L38" s="655"/>
    </row>
    <row r="39" spans="2:12" ht="15.75">
      <c r="B39" s="631" t="s">
        <v>574</v>
      </c>
      <c r="C39" s="631" t="str">
        <f>"Year "&amp;TCOS!L4</f>
        <v>Year 2026</v>
      </c>
      <c r="D39" s="631"/>
      <c r="E39" s="661">
        <f>-L36</f>
        <v>-14860.978070469682</v>
      </c>
      <c r="F39" s="641"/>
      <c r="G39" s="656">
        <f>G15</f>
        <v>6.8300000000000001E-3</v>
      </c>
      <c r="H39" s="631"/>
      <c r="I39" s="655">
        <f xml:space="preserve"> -G39*E39</f>
        <v>101.50048022130794</v>
      </c>
      <c r="J39" s="655">
        <f>PMT(G39,12,L$36)</f>
        <v>-1294.0802828866804</v>
      </c>
      <c r="K39" s="655"/>
      <c r="L39" s="655">
        <f>(+E39+E39*G39-J39)*-1</f>
        <v>13668.39826780431</v>
      </c>
    </row>
    <row r="40" spans="2:12" ht="15.75">
      <c r="B40" s="631" t="s">
        <v>575</v>
      </c>
      <c r="C40" s="631" t="str">
        <f>+C39</f>
        <v>Year 2026</v>
      </c>
      <c r="D40" s="631"/>
      <c r="E40" s="641">
        <f>-L39</f>
        <v>-13668.39826780431</v>
      </c>
      <c r="F40" s="641"/>
      <c r="G40" s="656">
        <f>+G39</f>
        <v>6.8300000000000001E-3</v>
      </c>
      <c r="H40" s="631"/>
      <c r="I40" s="655">
        <f xml:space="preserve"> -G40*E40</f>
        <v>93.355160169103442</v>
      </c>
      <c r="J40" s="655">
        <f>J39</f>
        <v>-1294.0802828866804</v>
      </c>
      <c r="K40" s="655"/>
      <c r="L40" s="655">
        <f t="shared" ref="L40:L50" si="5">(+E40+E40*G40-J40)*-1</f>
        <v>12467.673145086734</v>
      </c>
    </row>
    <row r="41" spans="2:12" ht="15.75">
      <c r="B41" s="631" t="s">
        <v>576</v>
      </c>
      <c r="C41" s="631" t="str">
        <f>+C40</f>
        <v>Year 2026</v>
      </c>
      <c r="D41" s="631"/>
      <c r="E41" s="641">
        <f t="shared" ref="E41:E50" si="6">-L40</f>
        <v>-12467.673145086734</v>
      </c>
      <c r="F41" s="641"/>
      <c r="G41" s="656">
        <f t="shared" ref="G41:G50" si="7">+G40</f>
        <v>6.8300000000000001E-3</v>
      </c>
      <c r="H41" s="631"/>
      <c r="I41" s="655">
        <f t="shared" ref="I41:I50" si="8" xml:space="preserve"> -G41*E41</f>
        <v>85.154207580942398</v>
      </c>
      <c r="J41" s="655">
        <f t="shared" ref="J41:J50" si="9">J40</f>
        <v>-1294.0802828866804</v>
      </c>
      <c r="K41" s="655"/>
      <c r="L41" s="655">
        <f t="shared" si="5"/>
        <v>11258.747069780997</v>
      </c>
    </row>
    <row r="42" spans="2:12" ht="15.75">
      <c r="B42" s="631" t="s">
        <v>577</v>
      </c>
      <c r="C42" s="631" t="str">
        <f>+C41</f>
        <v>Year 2026</v>
      </c>
      <c r="D42" s="631"/>
      <c r="E42" s="641">
        <f t="shared" si="6"/>
        <v>-11258.747069780997</v>
      </c>
      <c r="F42" s="641"/>
      <c r="G42" s="656">
        <f t="shared" si="7"/>
        <v>6.8300000000000001E-3</v>
      </c>
      <c r="H42" s="631"/>
      <c r="I42" s="655">
        <f t="shared" si="8"/>
        <v>76.897242486604213</v>
      </c>
      <c r="J42" s="655">
        <f t="shared" si="9"/>
        <v>-1294.0802828866804</v>
      </c>
      <c r="K42" s="655"/>
      <c r="L42" s="655">
        <f t="shared" si="5"/>
        <v>10041.564029380921</v>
      </c>
    </row>
    <row r="43" spans="2:12" ht="15.75">
      <c r="B43" s="631" t="s">
        <v>578</v>
      </c>
      <c r="C43" s="631" t="str">
        <f>+C42</f>
        <v>Year 2026</v>
      </c>
      <c r="D43" s="631"/>
      <c r="E43" s="641">
        <f t="shared" si="6"/>
        <v>-10041.564029380921</v>
      </c>
      <c r="F43" s="641"/>
      <c r="G43" s="656">
        <f t="shared" si="7"/>
        <v>6.8300000000000001E-3</v>
      </c>
      <c r="H43" s="631"/>
      <c r="I43" s="655">
        <f t="shared" si="8"/>
        <v>68.583882320671691</v>
      </c>
      <c r="J43" s="655">
        <f>J42</f>
        <v>-1294.0802828866804</v>
      </c>
      <c r="K43" s="655"/>
      <c r="L43" s="655">
        <f t="shared" si="5"/>
        <v>8816.0676288149134</v>
      </c>
    </row>
    <row r="44" spans="2:12" ht="15.75">
      <c r="B44" s="631" t="s">
        <v>579</v>
      </c>
      <c r="C44" s="631" t="str">
        <f>C43</f>
        <v>Year 2026</v>
      </c>
      <c r="D44" s="129"/>
      <c r="E44" s="641">
        <f t="shared" si="6"/>
        <v>-8816.0676288149134</v>
      </c>
      <c r="F44" s="641"/>
      <c r="G44" s="656">
        <f t="shared" si="7"/>
        <v>6.8300000000000001E-3</v>
      </c>
      <c r="H44" s="631"/>
      <c r="I44" s="655">
        <f t="shared" si="8"/>
        <v>60.213741904805858</v>
      </c>
      <c r="J44" s="655">
        <f t="shared" si="9"/>
        <v>-1294.0802828866804</v>
      </c>
      <c r="K44" s="655"/>
      <c r="L44" s="655">
        <f t="shared" si="5"/>
        <v>7582.2010878330402</v>
      </c>
    </row>
    <row r="45" spans="2:12" ht="15.75">
      <c r="B45" s="631" t="s">
        <v>580</v>
      </c>
      <c r="C45" s="631" t="str">
        <f t="shared" ref="C45:C50" si="10">+C44</f>
        <v>Year 2026</v>
      </c>
      <c r="D45" s="631"/>
      <c r="E45" s="641">
        <f t="shared" si="6"/>
        <v>-7582.2010878330402</v>
      </c>
      <c r="F45" s="641"/>
      <c r="G45" s="656">
        <f t="shared" si="7"/>
        <v>6.8300000000000001E-3</v>
      </c>
      <c r="H45" s="631"/>
      <c r="I45" s="655">
        <f t="shared" si="8"/>
        <v>51.786433429899667</v>
      </c>
      <c r="J45" s="655">
        <f t="shared" si="9"/>
        <v>-1294.0802828866804</v>
      </c>
      <c r="K45" s="655"/>
      <c r="L45" s="655">
        <f t="shared" si="5"/>
        <v>6339.9072383762596</v>
      </c>
    </row>
    <row r="46" spans="2:12" ht="15.75">
      <c r="B46" s="631" t="s">
        <v>581</v>
      </c>
      <c r="C46" s="631" t="str">
        <f t="shared" si="10"/>
        <v>Year 2026</v>
      </c>
      <c r="D46" s="631"/>
      <c r="E46" s="641">
        <f t="shared" si="6"/>
        <v>-6339.9072383762596</v>
      </c>
      <c r="F46" s="641"/>
      <c r="G46" s="656">
        <f t="shared" si="7"/>
        <v>6.8300000000000001E-3</v>
      </c>
      <c r="H46" s="631"/>
      <c r="I46" s="655">
        <f t="shared" si="8"/>
        <v>43.301566438109852</v>
      </c>
      <c r="J46" s="655">
        <f t="shared" si="9"/>
        <v>-1294.0802828866804</v>
      </c>
      <c r="K46" s="655"/>
      <c r="L46" s="655">
        <f t="shared" si="5"/>
        <v>5089.1285219276888</v>
      </c>
    </row>
    <row r="47" spans="2:12" ht="15.75">
      <c r="B47" s="631" t="s">
        <v>582</v>
      </c>
      <c r="C47" s="631" t="str">
        <f t="shared" si="10"/>
        <v>Year 2026</v>
      </c>
      <c r="D47" s="631"/>
      <c r="E47" s="641">
        <f t="shared" si="6"/>
        <v>-5089.1285219276888</v>
      </c>
      <c r="F47" s="641"/>
      <c r="G47" s="656">
        <f t="shared" si="7"/>
        <v>6.8300000000000001E-3</v>
      </c>
      <c r="H47" s="631"/>
      <c r="I47" s="655">
        <f t="shared" si="8"/>
        <v>34.758747804766116</v>
      </c>
      <c r="J47" s="655">
        <f>J46</f>
        <v>-1294.0802828866804</v>
      </c>
      <c r="K47" s="655"/>
      <c r="L47" s="655">
        <f t="shared" si="5"/>
        <v>3829.8069868457746</v>
      </c>
    </row>
    <row r="48" spans="2:12" ht="15.75">
      <c r="B48" s="631" t="s">
        <v>583</v>
      </c>
      <c r="C48" s="631" t="str">
        <f t="shared" si="10"/>
        <v>Year 2026</v>
      </c>
      <c r="D48" s="631"/>
      <c r="E48" s="641">
        <f t="shared" si="6"/>
        <v>-3829.8069868457746</v>
      </c>
      <c r="F48" s="641"/>
      <c r="G48" s="656">
        <f t="shared" si="7"/>
        <v>6.8300000000000001E-3</v>
      </c>
      <c r="H48" s="631"/>
      <c r="I48" s="655">
        <f t="shared" si="8"/>
        <v>26.157581720156642</v>
      </c>
      <c r="J48" s="655">
        <f t="shared" si="9"/>
        <v>-1294.0802828866804</v>
      </c>
      <c r="K48" s="655"/>
      <c r="L48" s="655">
        <f t="shared" si="5"/>
        <v>2561.8842856792508</v>
      </c>
    </row>
    <row r="49" spans="2:12" ht="15.75">
      <c r="B49" s="631" t="s">
        <v>584</v>
      </c>
      <c r="C49" s="631" t="str">
        <f t="shared" si="10"/>
        <v>Year 2026</v>
      </c>
      <c r="D49" s="631"/>
      <c r="E49" s="641">
        <f t="shared" si="6"/>
        <v>-2561.8842856792508</v>
      </c>
      <c r="F49" s="641"/>
      <c r="G49" s="656">
        <f t="shared" si="7"/>
        <v>6.8300000000000001E-3</v>
      </c>
      <c r="H49" s="631"/>
      <c r="I49" s="655">
        <f t="shared" si="8"/>
        <v>17.497669671189282</v>
      </c>
      <c r="J49" s="655">
        <f t="shared" si="9"/>
        <v>-1294.0802828866804</v>
      </c>
      <c r="K49" s="655"/>
      <c r="L49" s="655">
        <f t="shared" si="5"/>
        <v>1285.3016724637596</v>
      </c>
    </row>
    <row r="50" spans="2:12" ht="15.75">
      <c r="B50" s="631" t="s">
        <v>585</v>
      </c>
      <c r="C50" s="631" t="str">
        <f t="shared" si="10"/>
        <v>Year 2026</v>
      </c>
      <c r="D50" s="631"/>
      <c r="E50" s="641">
        <f t="shared" si="6"/>
        <v>-1285.3016724637596</v>
      </c>
      <c r="F50" s="641"/>
      <c r="G50" s="656">
        <f t="shared" si="7"/>
        <v>6.8300000000000001E-3</v>
      </c>
      <c r="H50" s="631"/>
      <c r="I50" s="657">
        <f t="shared" si="8"/>
        <v>8.7786104229274784</v>
      </c>
      <c r="J50" s="655">
        <f t="shared" si="9"/>
        <v>-1294.0802828866804</v>
      </c>
      <c r="K50" s="655"/>
      <c r="L50" s="655">
        <f t="shared" si="5"/>
        <v>6.5938365878537297E-12</v>
      </c>
    </row>
    <row r="51" spans="2:12" ht="15.75">
      <c r="B51" s="631"/>
      <c r="C51" s="631"/>
      <c r="D51" s="631"/>
      <c r="E51" s="641"/>
      <c r="F51" s="641"/>
      <c r="G51" s="656"/>
      <c r="H51" s="631"/>
      <c r="I51" s="655">
        <f>SUM(I39:I50)</f>
        <v>667.98532417048466</v>
      </c>
      <c r="J51" s="655"/>
      <c r="K51" s="655"/>
      <c r="L51" s="655"/>
    </row>
    <row r="52" spans="2:12" ht="15">
      <c r="B52" s="129"/>
      <c r="C52" s="129"/>
      <c r="D52" s="129"/>
      <c r="E52" s="129"/>
      <c r="F52" s="129"/>
      <c r="G52" s="129"/>
      <c r="H52" s="129"/>
      <c r="I52" s="129"/>
      <c r="J52" s="662"/>
      <c r="K52" s="129"/>
      <c r="L52" s="129"/>
    </row>
    <row r="53" spans="2:12" ht="15.75">
      <c r="B53" s="631" t="s">
        <v>589</v>
      </c>
      <c r="C53" s="129"/>
      <c r="D53" s="129"/>
      <c r="E53" s="129"/>
      <c r="F53" s="129"/>
      <c r="G53" s="129"/>
      <c r="H53" s="129"/>
      <c r="I53" s="129"/>
      <c r="J53" s="663">
        <f>(SUM(J39:J50)*-1)</f>
        <v>15528.963394640161</v>
      </c>
      <c r="K53" s="129"/>
      <c r="L53" s="129"/>
    </row>
    <row r="54" spans="2:12" ht="15.75">
      <c r="B54" s="631" t="s">
        <v>590</v>
      </c>
      <c r="C54" s="129"/>
      <c r="D54" s="129"/>
      <c r="E54" s="129"/>
      <c r="F54" s="129"/>
      <c r="G54" s="129"/>
      <c r="H54" s="129"/>
      <c r="I54" s="129"/>
      <c r="J54" s="664">
        <f>+I10</f>
        <v>-13151.382347404491</v>
      </c>
      <c r="K54" s="129"/>
      <c r="L54" s="129"/>
    </row>
    <row r="55" spans="2:12" ht="15.75">
      <c r="B55" s="631" t="s">
        <v>591</v>
      </c>
      <c r="C55" s="129"/>
      <c r="D55" s="129"/>
      <c r="E55" s="129"/>
      <c r="F55" s="129"/>
      <c r="G55" s="129"/>
      <c r="H55" s="129"/>
      <c r="I55" s="129"/>
      <c r="J55" s="663">
        <f>(J53+J54)</f>
        <v>2377.5810472356698</v>
      </c>
      <c r="K55" s="129"/>
      <c r="L55" s="129"/>
    </row>
    <row r="57" spans="2:12" ht="50.25" customHeight="1">
      <c r="B57" s="1225" t="s">
        <v>592</v>
      </c>
      <c r="C57" s="1225"/>
      <c r="D57" s="1225"/>
      <c r="E57" s="1225"/>
      <c r="F57" s="1225"/>
      <c r="G57" s="1225"/>
      <c r="H57" s="1225"/>
      <c r="I57" s="1225"/>
      <c r="J57" s="1225"/>
      <c r="K57" s="940"/>
      <c r="L57" s="940"/>
    </row>
  </sheetData>
  <mergeCells count="5">
    <mergeCell ref="B1:L1"/>
    <mergeCell ref="B2:L2"/>
    <mergeCell ref="B3:L3"/>
    <mergeCell ref="E4:H4"/>
    <mergeCell ref="B57:J57"/>
  </mergeCells>
  <pageMargins left="0.7" right="0.7" top="0.75" bottom="0.7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view="pageBreakPreview" topLeftCell="A16" zoomScale="85" zoomScaleNormal="75" zoomScaleSheetLayoutView="85" workbookViewId="0">
      <selection activeCell="E14" sqref="E14"/>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12" t="s">
        <v>414</v>
      </c>
    </row>
    <row r="2" spans="1:12" ht="15.75">
      <c r="A2" s="712" t="s">
        <v>414</v>
      </c>
    </row>
    <row r="3" spans="1:12"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7"/>
    </row>
    <row r="4" spans="1:12" ht="15">
      <c r="A4" s="1140" t="str">
        <f>"Cost of Service Formula Rate Using Actual/Projected FF1 Balances"</f>
        <v>Cost of Service Formula Rate Using Actual/Projected FF1 Balances</v>
      </c>
      <c r="B4" s="1140"/>
      <c r="C4" s="1140"/>
      <c r="D4" s="1140"/>
      <c r="E4" s="1140"/>
      <c r="F4" s="1140"/>
      <c r="G4" s="1140"/>
      <c r="H4" s="1140"/>
      <c r="I4" s="1140"/>
      <c r="J4" s="45"/>
    </row>
    <row r="5" spans="1:12" ht="15">
      <c r="A5" s="1140" t="s">
        <v>270</v>
      </c>
      <c r="B5" s="1140"/>
      <c r="C5" s="1140"/>
      <c r="D5" s="1140"/>
      <c r="E5" s="1140"/>
      <c r="F5" s="1140"/>
      <c r="G5" s="1140"/>
      <c r="H5" s="1140"/>
      <c r="I5" s="1140"/>
      <c r="J5" s="44"/>
    </row>
    <row r="6" spans="1:12" ht="15">
      <c r="A6" s="1151" t="str">
        <f>TCOS!F9</f>
        <v>AEP Indiana Michigan Transmission Company</v>
      </c>
      <c r="B6" s="1151"/>
      <c r="C6" s="1151"/>
      <c r="D6" s="1151"/>
      <c r="E6" s="1151"/>
      <c r="F6" s="1151"/>
      <c r="G6" s="1151"/>
      <c r="H6" s="1151"/>
      <c r="I6" s="1151"/>
      <c r="J6" s="2"/>
    </row>
    <row r="7" spans="1:12">
      <c r="C7" s="13"/>
      <c r="D7" s="13"/>
    </row>
    <row r="8" spans="1:12" ht="15">
      <c r="A8" s="684"/>
      <c r="B8" s="693"/>
      <c r="C8" s="697" t="s">
        <v>460</v>
      </c>
      <c r="D8" s="697" t="s">
        <v>461</v>
      </c>
      <c r="E8" s="697" t="s">
        <v>462</v>
      </c>
      <c r="F8" s="684"/>
      <c r="G8" s="697" t="s">
        <v>463</v>
      </c>
      <c r="H8" s="684"/>
      <c r="I8" s="697" t="s">
        <v>383</v>
      </c>
      <c r="J8" s="4"/>
      <c r="K8"/>
      <c r="L8"/>
    </row>
    <row r="9" spans="1:12" ht="15">
      <c r="A9" s="683"/>
      <c r="B9" s="693"/>
      <c r="C9" s="684"/>
      <c r="D9" s="684"/>
      <c r="E9" s="684"/>
      <c r="F9" s="684"/>
      <c r="G9" s="684"/>
      <c r="H9" s="684"/>
      <c r="I9" s="698"/>
      <c r="J9"/>
      <c r="K9"/>
      <c r="L9"/>
    </row>
    <row r="10" spans="1:12" ht="12.75" customHeight="1">
      <c r="A10" s="696" t="s">
        <v>467</v>
      </c>
      <c r="B10" s="693"/>
      <c r="C10" s="699"/>
      <c r="D10" s="699"/>
      <c r="E10" s="1149" t="str">
        <f>"Balance @    December 31, "&amp;TCOS!L4&amp;""</f>
        <v>Balance @    December 31, 2026</v>
      </c>
      <c r="F10" s="700"/>
      <c r="G10" s="1149" t="str">
        <f>"Balance @     December 31, "&amp;TCOS!L4-1&amp;""</f>
        <v>Balance @     December 31, 2025</v>
      </c>
      <c r="H10" s="700"/>
      <c r="I10" s="1152" t="str">
        <f>"Average Balance for "&amp;TCOS!L4&amp;""</f>
        <v>Average Balance for 2026</v>
      </c>
      <c r="J10"/>
      <c r="K10"/>
      <c r="L10"/>
    </row>
    <row r="11" spans="1:12" ht="15">
      <c r="A11" s="703" t="s">
        <v>405</v>
      </c>
      <c r="B11" s="701"/>
      <c r="C11" s="696" t="s">
        <v>465</v>
      </c>
      <c r="D11" s="696" t="s">
        <v>496</v>
      </c>
      <c r="E11" s="1150"/>
      <c r="F11" s="702"/>
      <c r="G11" s="1150"/>
      <c r="H11" s="702"/>
      <c r="I11" s="1150"/>
      <c r="J11"/>
      <c r="K11"/>
      <c r="L11"/>
    </row>
    <row r="12" spans="1:12">
      <c r="A12" s="43"/>
      <c r="C12" s="13"/>
      <c r="D12" s="13"/>
      <c r="G12" s="96"/>
    </row>
    <row r="13" spans="1:12">
      <c r="A13" s="43"/>
      <c r="C13" s="13"/>
      <c r="D13" s="13"/>
    </row>
    <row r="14" spans="1:12">
      <c r="A14" s="43"/>
      <c r="C14" s="13"/>
      <c r="D14" s="13"/>
    </row>
    <row r="15" spans="1:12" ht="15.75">
      <c r="A15" s="43">
        <v>1</v>
      </c>
      <c r="C15" s="28" t="s">
        <v>303</v>
      </c>
      <c r="D15" s="28"/>
    </row>
    <row r="16" spans="1:12" ht="15.75">
      <c r="A16" s="43"/>
      <c r="C16" s="28"/>
      <c r="D16" s="696"/>
      <c r="H16"/>
    </row>
    <row r="17" spans="1:9" ht="14.25">
      <c r="A17" s="43">
        <f>+A15+1</f>
        <v>2</v>
      </c>
      <c r="C17" s="690" t="s">
        <v>309</v>
      </c>
      <c r="D17" s="694" t="s">
        <v>311</v>
      </c>
      <c r="E17" s="682">
        <v>0</v>
      </c>
      <c r="F17" s="684"/>
      <c r="G17" s="682">
        <v>0</v>
      </c>
      <c r="H17" s="687"/>
      <c r="I17" s="688">
        <f>IF(G17="",0,(E17+G17)/2)</f>
        <v>0</v>
      </c>
    </row>
    <row r="18" spans="1:9" ht="14.25">
      <c r="A18" s="43">
        <f>+A17+1</f>
        <v>3</v>
      </c>
      <c r="C18" s="690" t="s">
        <v>313</v>
      </c>
      <c r="D18" s="683" t="str">
        <f>"WS B-1 - Actual Stmt. AF Ln. " &amp;'WS B-1 - Actual Stmt. AF'!A24&amp;" (Note 1)"</f>
        <v>WS B-1 - Actual Stmt. AF Ln. 4 (Note 1)</v>
      </c>
      <c r="E18" s="682">
        <v>0</v>
      </c>
      <c r="F18" s="684"/>
      <c r="G18" s="682">
        <v>0</v>
      </c>
      <c r="H18" s="687"/>
      <c r="I18" s="688">
        <f>IF(G18="",0,(E18+G18)/2)</f>
        <v>0</v>
      </c>
    </row>
    <row r="19" spans="1:9" ht="16.5">
      <c r="A19" s="43">
        <f>+A18+1</f>
        <v>4</v>
      </c>
      <c r="C19" s="690" t="s">
        <v>314</v>
      </c>
      <c r="D19" s="683" t="str">
        <f>"WS B-1 - Actual Stmt. AF Ln. " &amp;'WS B-1 - Actual Stmt. AF'!A23&amp;" (Note 1)"</f>
        <v>WS B-1 - Actual Stmt. AF Ln. 3 (Note 1)</v>
      </c>
      <c r="E19" s="686">
        <v>0</v>
      </c>
      <c r="F19" s="684"/>
      <c r="G19" s="686">
        <v>0</v>
      </c>
      <c r="H19" s="684"/>
      <c r="I19" s="689">
        <f>IF(G19="",0,(E19+G19)/2)</f>
        <v>0</v>
      </c>
    </row>
    <row r="20" spans="1:9" ht="14.25">
      <c r="A20" s="43">
        <f>+A19+1</f>
        <v>5</v>
      </c>
      <c r="C20" s="690" t="s">
        <v>310</v>
      </c>
      <c r="D20" s="695" t="str">
        <f>"Ln "&amp;A17&amp;" - ln "&amp;A18&amp;" - ln "&amp;A19&amp;""</f>
        <v>Ln 2 - ln 3 - ln 4</v>
      </c>
      <c r="E20" s="685">
        <f>+E17-E18-E19</f>
        <v>0</v>
      </c>
      <c r="F20" s="684"/>
      <c r="G20" s="685">
        <f>+G17-G18-G19</f>
        <v>0</v>
      </c>
      <c r="H20" s="684"/>
      <c r="I20" s="688">
        <f>+I17-I18-I19</f>
        <v>0</v>
      </c>
    </row>
    <row r="21" spans="1:9" ht="14.25">
      <c r="A21" s="43"/>
      <c r="C21" s="36"/>
      <c r="D21" s="690"/>
      <c r="E21" s="684"/>
      <c r="F21" s="684"/>
      <c r="G21" s="684"/>
      <c r="H21" s="684"/>
      <c r="I21" s="684"/>
    </row>
    <row r="22" spans="1:9" ht="14.25">
      <c r="A22" s="43"/>
      <c r="C22" s="36"/>
      <c r="D22" s="690"/>
      <c r="E22" s="684"/>
      <c r="F22" s="684"/>
      <c r="G22" s="684"/>
      <c r="H22" s="684"/>
      <c r="I22" s="684"/>
    </row>
    <row r="23" spans="1:9" ht="15.75">
      <c r="A23" s="43">
        <f>+A20+1</f>
        <v>6</v>
      </c>
      <c r="C23" s="28" t="s">
        <v>304</v>
      </c>
      <c r="D23" s="690"/>
      <c r="E23" s="684"/>
      <c r="F23" s="684"/>
      <c r="G23" s="684"/>
      <c r="H23" s="684"/>
      <c r="I23" s="684"/>
    </row>
    <row r="24" spans="1:9" ht="14.25">
      <c r="A24" s="43"/>
      <c r="C24" s="36"/>
      <c r="D24" s="690"/>
      <c r="E24" s="684"/>
      <c r="F24" s="684"/>
      <c r="G24" s="684"/>
      <c r="H24" s="684"/>
      <c r="I24" s="684"/>
    </row>
    <row r="25" spans="1:9" ht="14.25">
      <c r="A25" s="43">
        <f>+A23+1</f>
        <v>7</v>
      </c>
      <c r="C25" s="690" t="s">
        <v>309</v>
      </c>
      <c r="D25" s="694" t="s">
        <v>237</v>
      </c>
      <c r="E25" s="682">
        <v>412896787.33206964</v>
      </c>
      <c r="F25" s="684"/>
      <c r="G25" s="682">
        <v>374422621.23487407</v>
      </c>
      <c r="H25" s="687"/>
      <c r="I25" s="688">
        <f>IF(G25="",0,(E25+G25)/2)</f>
        <v>393659704.28347182</v>
      </c>
    </row>
    <row r="26" spans="1:9" ht="14.25">
      <c r="A26" s="43">
        <f>+A25+1</f>
        <v>8</v>
      </c>
      <c r="C26" s="690" t="s">
        <v>313</v>
      </c>
      <c r="D26" s="683" t="str">
        <f>"WS B-1 - Actual Stmt. AF Ln. " &amp;'WS B-1 - Actual Stmt. AF'!A72&amp;" (Note 1)"</f>
        <v>WS B-1 - Actual Stmt. AF Ln. 7 (Note 1)</v>
      </c>
      <c r="E26" s="682">
        <v>0</v>
      </c>
      <c r="F26" s="684"/>
      <c r="G26" s="682">
        <v>0</v>
      </c>
      <c r="H26" s="687"/>
      <c r="I26" s="688">
        <f>IF(G26="",0,(E26+G26)/2)</f>
        <v>0</v>
      </c>
    </row>
    <row r="27" spans="1:9" ht="16.5">
      <c r="A27" s="43">
        <f>+A26+1</f>
        <v>9</v>
      </c>
      <c r="C27" s="690" t="s">
        <v>314</v>
      </c>
      <c r="D27" s="683" t="str">
        <f>"WS B-1 - Actual Stmt. AF Ln. " &amp;'WS B-1 - Actual Stmt. AF'!A71&amp;" (Note 1)"</f>
        <v>WS B-1 - Actual Stmt. AF Ln. 6 (Note 1)</v>
      </c>
      <c r="E27" s="686">
        <v>28852288.878875136</v>
      </c>
      <c r="F27" s="684"/>
      <c r="G27" s="686">
        <v>8095564.1100000143</v>
      </c>
      <c r="H27" s="684"/>
      <c r="I27" s="689">
        <f>IF(G27="",0,(E27+G27)/2)</f>
        <v>18473926.494437575</v>
      </c>
    </row>
    <row r="28" spans="1:9" ht="14.25">
      <c r="A28" s="43">
        <f>+A27+1</f>
        <v>10</v>
      </c>
      <c r="C28" s="690" t="s">
        <v>310</v>
      </c>
      <c r="D28" s="695" t="str">
        <f>"Ln "&amp;A25&amp;" - ln "&amp;A26&amp;" - ln "&amp;A27&amp;""</f>
        <v>Ln 7 - ln 8 - ln 9</v>
      </c>
      <c r="E28" s="685">
        <f>+E25-E26-E27</f>
        <v>384044498.4531945</v>
      </c>
      <c r="F28" s="684"/>
      <c r="G28" s="685">
        <f>+G25-G26-G27</f>
        <v>366327057.12487406</v>
      </c>
      <c r="H28" s="684"/>
      <c r="I28" s="688">
        <f>+I25-I26-I27</f>
        <v>375185777.78903425</v>
      </c>
    </row>
    <row r="29" spans="1:9" ht="14.25">
      <c r="A29" s="43"/>
      <c r="C29" s="36"/>
      <c r="D29" s="690"/>
      <c r="E29" s="684"/>
      <c r="F29" s="684"/>
      <c r="G29" s="684"/>
      <c r="H29" s="684"/>
      <c r="I29" s="684"/>
    </row>
    <row r="30" spans="1:9" ht="14.25">
      <c r="A30" s="43"/>
      <c r="C30" s="36"/>
      <c r="D30" s="690"/>
      <c r="E30" s="685"/>
      <c r="F30" s="684"/>
      <c r="G30" s="685"/>
      <c r="H30" s="684"/>
      <c r="I30" s="684"/>
    </row>
    <row r="31" spans="1:9" ht="15.75">
      <c r="A31" s="43">
        <f>+A28+1</f>
        <v>11</v>
      </c>
      <c r="C31" s="28" t="s">
        <v>305</v>
      </c>
      <c r="D31" s="690"/>
      <c r="E31" s="684"/>
      <c r="F31" s="684"/>
      <c r="G31" s="684"/>
      <c r="H31" s="684"/>
      <c r="I31" s="684"/>
    </row>
    <row r="32" spans="1:9" ht="15.75">
      <c r="A32" s="43"/>
      <c r="C32" s="28"/>
      <c r="D32" s="690"/>
      <c r="E32" s="684"/>
      <c r="F32" s="684"/>
      <c r="G32" s="684"/>
      <c r="H32" s="684"/>
      <c r="I32" s="684"/>
    </row>
    <row r="33" spans="1:9" ht="14.25">
      <c r="A33" s="43">
        <f>+A31+1</f>
        <v>12</v>
      </c>
      <c r="C33" s="690" t="s">
        <v>309</v>
      </c>
      <c r="D33" s="694" t="s">
        <v>312</v>
      </c>
      <c r="E33" s="682">
        <v>89931319.273798749</v>
      </c>
      <c r="F33" s="684"/>
      <c r="G33" s="682">
        <v>90141565.989999995</v>
      </c>
      <c r="H33" s="687"/>
      <c r="I33" s="688">
        <f>IF(G33="",0,(E33+G33)/2)</f>
        <v>90036442.631899372</v>
      </c>
    </row>
    <row r="34" spans="1:9" ht="14.25">
      <c r="A34" s="43">
        <f>+A33+1</f>
        <v>13</v>
      </c>
      <c r="C34" s="690" t="s">
        <v>313</v>
      </c>
      <c r="D34" s="683" t="str">
        <f>"WS B-1 - Actual Stmt. AF Ln. " &amp;'WS B-1 - Actual Stmt. AF'!A184&amp;" (Note 1)"</f>
        <v>WS B-1 - Actual Stmt. AF Ln. 13 (Note 1)</v>
      </c>
      <c r="E34" s="682">
        <v>0</v>
      </c>
      <c r="F34" s="684"/>
      <c r="G34" s="682">
        <v>0</v>
      </c>
      <c r="H34" s="687"/>
      <c r="I34" s="688">
        <f>IF(G34="",0,(E34+G34)/2)</f>
        <v>0</v>
      </c>
    </row>
    <row r="35" spans="1:9" ht="16.5">
      <c r="A35" s="43">
        <f>+A34+1</f>
        <v>14</v>
      </c>
      <c r="C35" s="690" t="s">
        <v>314</v>
      </c>
      <c r="D35" s="683" t="str">
        <f>"WS B-1 - Actual Stmt. AF Ln. " &amp;'WS B-1 - Actual Stmt. AF'!A183&amp;" (Note 1)"</f>
        <v>WS B-1 - Actual Stmt. AF Ln. 12 (Note 1)</v>
      </c>
      <c r="E35" s="686">
        <v>30346702.159999996</v>
      </c>
      <c r="F35" s="684"/>
      <c r="G35" s="686">
        <v>30375195.828466572</v>
      </c>
      <c r="H35" s="684"/>
      <c r="I35" s="689">
        <f>IF(G35="",0,(E35+G35)/2)</f>
        <v>30360948.994233284</v>
      </c>
    </row>
    <row r="36" spans="1:9" ht="14.25">
      <c r="A36" s="43">
        <f>+A35+1</f>
        <v>15</v>
      </c>
      <c r="C36" s="690" t="s">
        <v>310</v>
      </c>
      <c r="D36" s="695" t="str">
        <f>"Ln "&amp;A33&amp;" - ln "&amp;A34&amp;" - ln "&amp;A35&amp;""</f>
        <v>Ln 12 - ln 13 - ln 14</v>
      </c>
      <c r="E36" s="685">
        <f>+E33-E34-E35</f>
        <v>59584617.113798752</v>
      </c>
      <c r="F36" s="684"/>
      <c r="G36" s="685">
        <f>+G33-G34-G35</f>
        <v>59766370.161533423</v>
      </c>
      <c r="H36" s="684"/>
      <c r="I36" s="688">
        <f>+I33-I34-I35</f>
        <v>59675493.637666091</v>
      </c>
    </row>
    <row r="37" spans="1:9" ht="15.75">
      <c r="A37" s="43"/>
      <c r="C37" s="28"/>
      <c r="D37" s="690"/>
      <c r="E37" s="684"/>
      <c r="F37" s="684"/>
      <c r="G37" s="684"/>
      <c r="H37" s="684"/>
      <c r="I37" s="684"/>
    </row>
    <row r="38" spans="1:9" ht="14.25">
      <c r="A38" s="43"/>
      <c r="C38" s="36"/>
      <c r="D38" s="690"/>
      <c r="E38" s="684"/>
      <c r="F38" s="684"/>
      <c r="G38" s="684"/>
      <c r="H38" s="684"/>
      <c r="I38" s="684"/>
    </row>
    <row r="39" spans="1:9" ht="15.75">
      <c r="A39" s="43">
        <f>+A36+1</f>
        <v>16</v>
      </c>
      <c r="C39" s="28" t="s">
        <v>306</v>
      </c>
      <c r="D39" s="690"/>
      <c r="E39" s="684"/>
      <c r="F39" s="684"/>
      <c r="G39" s="684"/>
      <c r="H39" s="684"/>
      <c r="I39" s="684"/>
    </row>
    <row r="40" spans="1:9" ht="14.25">
      <c r="A40" s="43"/>
      <c r="C40" s="36"/>
      <c r="D40" s="690"/>
      <c r="E40" s="684"/>
      <c r="F40" s="684"/>
      <c r="G40" s="684"/>
      <c r="H40" s="684"/>
      <c r="I40" s="684"/>
    </row>
    <row r="41" spans="1:9" ht="14.25">
      <c r="A41" s="43">
        <f>+A39+1</f>
        <v>17</v>
      </c>
      <c r="C41" s="690" t="s">
        <v>309</v>
      </c>
      <c r="D41" s="694" t="s">
        <v>308</v>
      </c>
      <c r="E41" s="682">
        <v>29947611.368650325</v>
      </c>
      <c r="F41" s="684"/>
      <c r="G41" s="682">
        <v>28826830.456542417</v>
      </c>
      <c r="H41" s="687"/>
      <c r="I41" s="688">
        <f>IF(G41="",0,(E41+G41)/2)</f>
        <v>29387220.912596371</v>
      </c>
    </row>
    <row r="42" spans="1:9" ht="14.25">
      <c r="A42" s="43">
        <f>+A41+1</f>
        <v>18</v>
      </c>
      <c r="C42" s="690" t="s">
        <v>313</v>
      </c>
      <c r="D42" s="683" t="str">
        <f>"WS B-2 - Actual Stmt. AG Ln. " &amp;'WS B-2 - Actual Stmt. AG'!A110&amp;" (Note 1)"</f>
        <v>WS B-2 - Actual Stmt. AG Ln. 4 (Note 1)</v>
      </c>
      <c r="E42" s="682">
        <v>0</v>
      </c>
      <c r="F42" s="684"/>
      <c r="G42" s="682">
        <v>0</v>
      </c>
      <c r="H42" s="687"/>
      <c r="I42" s="688">
        <f>IF(G42="",0,(E42+G42)/2)</f>
        <v>0</v>
      </c>
    </row>
    <row r="43" spans="1:9" ht="16.5">
      <c r="A43" s="43">
        <f>+A42+1</f>
        <v>19</v>
      </c>
      <c r="C43" s="690" t="s">
        <v>314</v>
      </c>
      <c r="D43" s="683" t="str">
        <f>"WS B-2 - Actual Stmt. AG Ln. " &amp;'WS B-2 - Actual Stmt. AG'!A109&amp;" (Note 1)"</f>
        <v>WS B-2 - Actual Stmt. AG Ln. 3 (Note 1)</v>
      </c>
      <c r="E43" s="686">
        <v>13874209.759999998</v>
      </c>
      <c r="F43" s="684"/>
      <c r="G43" s="686">
        <v>13874209.759999998</v>
      </c>
      <c r="H43" s="684"/>
      <c r="I43" s="689">
        <f>IF(G43="",0,(E43+G43)/2)</f>
        <v>13874209.759999998</v>
      </c>
    </row>
    <row r="44" spans="1:9" ht="14.25">
      <c r="A44" s="43">
        <f>+A43+1</f>
        <v>20</v>
      </c>
      <c r="C44" s="690" t="s">
        <v>310</v>
      </c>
      <c r="D44" s="695" t="str">
        <f>"Ln "&amp;A41&amp;" - ln "&amp;A42&amp;" - ln "&amp;A43&amp;""</f>
        <v>Ln 17 - ln 18 - ln 19</v>
      </c>
      <c r="E44" s="685">
        <f>+E41-E42-E43</f>
        <v>16073401.608650327</v>
      </c>
      <c r="F44" s="684"/>
      <c r="G44" s="685">
        <f>+G41-G42-G43</f>
        <v>14952620.696542419</v>
      </c>
      <c r="H44" s="684"/>
      <c r="I44" s="688">
        <f>+I41-I42-I43</f>
        <v>15513011.152596373</v>
      </c>
    </row>
    <row r="45" spans="1:9" ht="14.25">
      <c r="A45" s="43"/>
      <c r="C45" s="36"/>
      <c r="D45" s="36"/>
      <c r="E45" s="684"/>
      <c r="F45" s="684"/>
      <c r="G45" s="684"/>
      <c r="H45" s="684"/>
      <c r="I45" s="684"/>
    </row>
    <row r="46" spans="1:9" ht="14.25">
      <c r="A46" s="43"/>
      <c r="C46" s="36"/>
      <c r="D46" s="36"/>
      <c r="E46" s="684"/>
      <c r="F46" s="684"/>
      <c r="G46" s="684"/>
      <c r="H46" s="684"/>
      <c r="I46" s="684"/>
    </row>
    <row r="47" spans="1:9" ht="15.75">
      <c r="A47" s="43">
        <f>+A44+1</f>
        <v>21</v>
      </c>
      <c r="C47" s="28" t="s">
        <v>307</v>
      </c>
      <c r="D47" s="36"/>
      <c r="E47" s="684"/>
      <c r="F47" s="684"/>
      <c r="G47" s="684"/>
      <c r="H47" s="684"/>
      <c r="I47" s="684"/>
    </row>
    <row r="48" spans="1:9" ht="14.25">
      <c r="A48" s="43"/>
      <c r="C48" s="36"/>
      <c r="D48" s="36"/>
      <c r="E48" s="684"/>
      <c r="F48" s="684"/>
      <c r="G48" s="684"/>
      <c r="H48" s="684"/>
      <c r="I48" s="684"/>
    </row>
    <row r="49" spans="1:10" ht="14.25">
      <c r="A49" s="43">
        <f>+A47+1</f>
        <v>22</v>
      </c>
      <c r="C49" s="690" t="s">
        <v>315</v>
      </c>
      <c r="D49" s="694" t="s">
        <v>269</v>
      </c>
      <c r="E49" s="682"/>
      <c r="F49" s="684"/>
      <c r="G49" s="682"/>
      <c r="H49" s="687"/>
      <c r="I49" s="688">
        <f>IF(G49="",0,(E49+G49)/2)</f>
        <v>0</v>
      </c>
    </row>
    <row r="50" spans="1:10" ht="16.5">
      <c r="A50" s="43">
        <f>+A49+1</f>
        <v>23</v>
      </c>
      <c r="C50" s="690" t="s">
        <v>316</v>
      </c>
      <c r="D50" s="683" t="s">
        <v>334</v>
      </c>
      <c r="E50" s="686"/>
      <c r="F50" s="684"/>
      <c r="G50" s="686"/>
      <c r="H50" s="687"/>
      <c r="I50" s="689">
        <f>IF(G50="",0,(E50+G50)/2)</f>
        <v>0</v>
      </c>
    </row>
    <row r="51" spans="1:10" ht="14.25">
      <c r="A51" s="43">
        <f>+A50+1</f>
        <v>24</v>
      </c>
      <c r="C51" s="690" t="s">
        <v>260</v>
      </c>
      <c r="D51" s="695" t="str">
        <f>"Ln "&amp;A49&amp;" - ln "&amp;A50&amp;""</f>
        <v>Ln 22 - ln 23</v>
      </c>
      <c r="E51" s="685">
        <f>+E49-E50</f>
        <v>0</v>
      </c>
      <c r="F51" s="684"/>
      <c r="G51" s="685">
        <f>+G49-G50</f>
        <v>0</v>
      </c>
      <c r="H51" s="687"/>
      <c r="I51" s="688">
        <f>+I49-I50</f>
        <v>0</v>
      </c>
    </row>
    <row r="52" spans="1:10" ht="14.25">
      <c r="A52" s="43">
        <f>+A51+1</f>
        <v>25</v>
      </c>
      <c r="C52" s="690" t="s">
        <v>310</v>
      </c>
      <c r="D52" s="695" t="str">
        <f>"WS B-1 - Actual Stmt. AF Ln. " &amp;'WS B-1 - Actual Stmt. AF'!A197&amp;" (Note 1)"</f>
        <v>WS B-1 - Actual Stmt. AF Ln. 20 (Note 1)</v>
      </c>
      <c r="E52" s="682"/>
      <c r="F52" s="684"/>
      <c r="G52" s="682"/>
      <c r="H52" s="687"/>
      <c r="I52" s="688">
        <f>IF(G52="",0,(E52+G52)/2)</f>
        <v>0</v>
      </c>
    </row>
    <row r="53" spans="1:10">
      <c r="A53" s="43"/>
      <c r="C53" s="36"/>
      <c r="D53" s="36"/>
    </row>
    <row r="54" spans="1:10" ht="14.25">
      <c r="A54" s="691" t="s">
        <v>333</v>
      </c>
      <c r="B54" s="692" t="s">
        <v>414</v>
      </c>
      <c r="C54" s="692" t="s">
        <v>760</v>
      </c>
      <c r="D54" s="36"/>
    </row>
    <row r="55" spans="1:10" ht="27.6" customHeight="1">
      <c r="A55" s="683"/>
      <c r="B55" s="693"/>
      <c r="C55" s="1148" t="s">
        <v>761</v>
      </c>
      <c r="D55" s="1148"/>
      <c r="E55" s="1148"/>
      <c r="F55" s="1148"/>
      <c r="G55" s="1148"/>
    </row>
    <row r="56" spans="1:10" ht="14.25">
      <c r="A56" s="683" t="s">
        <v>266</v>
      </c>
      <c r="B56" s="693" t="s">
        <v>267</v>
      </c>
      <c r="C56" s="690"/>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8">
    <mergeCell ref="C55:G55"/>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197"/>
  <sheetViews>
    <sheetView view="pageBreakPreview" topLeftCell="A4" zoomScale="60" zoomScaleNormal="50" workbookViewId="0">
      <selection activeCell="E14" sqref="E14"/>
    </sheetView>
  </sheetViews>
  <sheetFormatPr defaultRowHeight="12.75"/>
  <cols>
    <col min="1" max="1" width="6.85546875" style="724" customWidth="1"/>
    <col min="2" max="2" width="57.7109375" style="723" bestFit="1" customWidth="1"/>
    <col min="3" max="4" width="14.85546875" style="723" customWidth="1"/>
    <col min="5" max="6" width="14.28515625" style="723" customWidth="1"/>
    <col min="7" max="7" width="15.28515625" style="723" bestFit="1" customWidth="1"/>
    <col min="8" max="8" width="9.140625" style="723"/>
    <col min="9" max="9" width="13.140625" style="723" bestFit="1" customWidth="1"/>
    <col min="10" max="10" width="15" style="723" bestFit="1" customWidth="1"/>
    <col min="11" max="11" width="13.5703125" style="723" bestFit="1" customWidth="1"/>
    <col min="12" max="12" width="9.140625" style="723"/>
    <col min="13" max="13" width="13.140625" style="723" bestFit="1" customWidth="1"/>
    <col min="14" max="14" width="15" style="723" bestFit="1" customWidth="1"/>
    <col min="15" max="15" width="13.5703125" style="723" bestFit="1" customWidth="1"/>
    <col min="16" max="16" width="9.140625" style="723"/>
    <col min="17" max="17" width="13.140625" style="723" bestFit="1" customWidth="1"/>
    <col min="18" max="18" width="15" style="723" bestFit="1" customWidth="1"/>
    <col min="19" max="19" width="13.5703125" style="723" bestFit="1" customWidth="1"/>
    <col min="20" max="16384" width="9.140625" style="723"/>
  </cols>
  <sheetData>
    <row r="1" spans="1:19">
      <c r="A1" s="739"/>
      <c r="B1" s="755" t="str">
        <f>TCOS!F9</f>
        <v>AEP Indiana Michigan Transmission Company</v>
      </c>
      <c r="C1" s="727"/>
      <c r="D1" s="727"/>
      <c r="E1" s="727"/>
      <c r="F1" s="727"/>
      <c r="M1" s="727"/>
      <c r="N1" s="727"/>
      <c r="O1" s="727"/>
      <c r="P1" s="727"/>
      <c r="Q1" s="727"/>
      <c r="R1" s="727"/>
    </row>
    <row r="2" spans="1:19">
      <c r="A2" s="739"/>
      <c r="B2" s="726" t="s">
        <v>643</v>
      </c>
      <c r="C2" s="727"/>
      <c r="D2" s="727"/>
      <c r="E2" s="727"/>
      <c r="F2" s="727"/>
      <c r="M2" s="727"/>
      <c r="N2" s="727"/>
      <c r="O2" s="727"/>
      <c r="P2" s="727"/>
      <c r="Q2" s="727"/>
      <c r="R2" s="727"/>
    </row>
    <row r="3" spans="1:19">
      <c r="A3" s="739"/>
      <c r="B3" s="748" t="str">
        <f>"PERIOD ENDED DECEMBER 31, "&amp;TCOS!L4</f>
        <v>PERIOD ENDED DECEMBER 31, 2026</v>
      </c>
      <c r="C3" s="727"/>
      <c r="D3" s="727"/>
      <c r="E3" s="727"/>
      <c r="F3" s="727"/>
      <c r="G3" s="727"/>
      <c r="H3" s="727"/>
      <c r="I3" s="727"/>
      <c r="J3" s="727"/>
      <c r="K3" s="727"/>
      <c r="L3" s="727"/>
      <c r="M3" s="727"/>
      <c r="N3" s="727"/>
      <c r="O3" s="727"/>
      <c r="P3" s="727"/>
      <c r="Q3" s="727"/>
      <c r="R3" s="727"/>
      <c r="S3" s="727"/>
    </row>
    <row r="4" spans="1:19">
      <c r="A4" s="739"/>
      <c r="B4" s="727"/>
      <c r="C4" s="727"/>
      <c r="D4" s="727"/>
      <c r="E4" s="727"/>
      <c r="F4" s="727"/>
      <c r="G4" s="724" t="s">
        <v>644</v>
      </c>
      <c r="H4" s="724"/>
      <c r="I4" s="724"/>
      <c r="J4" s="724"/>
      <c r="K4" s="724"/>
      <c r="L4" s="724"/>
      <c r="M4" s="727"/>
      <c r="N4" s="727"/>
      <c r="O4" s="727"/>
      <c r="P4" s="727"/>
      <c r="Q4" s="727"/>
      <c r="R4" s="727"/>
      <c r="S4" s="727"/>
    </row>
    <row r="5" spans="1:19">
      <c r="A5" s="739"/>
      <c r="B5" s="727"/>
      <c r="C5" s="727"/>
      <c r="D5" s="727"/>
      <c r="E5" s="727"/>
      <c r="F5" s="727"/>
      <c r="G5" s="727"/>
      <c r="H5" s="727"/>
      <c r="I5" s="727"/>
      <c r="J5" s="727"/>
      <c r="K5" s="727"/>
      <c r="L5" s="727"/>
      <c r="M5" s="727"/>
      <c r="N5" s="727"/>
      <c r="O5" s="727"/>
      <c r="P5" s="727"/>
      <c r="Q5" s="727"/>
      <c r="R5" s="727"/>
      <c r="S5" s="727"/>
    </row>
    <row r="6" spans="1:19">
      <c r="A6" s="739"/>
      <c r="B6" s="727"/>
      <c r="C6" s="727"/>
      <c r="D6" s="727"/>
      <c r="E6" s="727"/>
      <c r="F6" s="727"/>
      <c r="G6" s="727"/>
      <c r="H6" s="727"/>
      <c r="I6" s="727"/>
      <c r="J6" s="727"/>
      <c r="K6" s="727"/>
      <c r="L6" s="727"/>
      <c r="M6" s="727"/>
      <c r="N6" s="727"/>
      <c r="O6" s="727"/>
      <c r="P6" s="727"/>
      <c r="Q6" s="727"/>
      <c r="R6" s="727"/>
      <c r="S6" s="727"/>
    </row>
    <row r="7" spans="1:19">
      <c r="A7" s="739"/>
      <c r="B7" s="727"/>
      <c r="C7" s="727"/>
      <c r="D7" s="727"/>
      <c r="E7" s="727"/>
      <c r="F7" s="727"/>
      <c r="G7" s="727"/>
      <c r="H7" s="727"/>
      <c r="I7" s="727"/>
      <c r="J7" s="727"/>
      <c r="K7" s="727"/>
      <c r="L7" s="727"/>
      <c r="M7" s="727"/>
      <c r="N7" s="727"/>
      <c r="O7" s="727"/>
      <c r="P7" s="727"/>
      <c r="Q7" s="727"/>
      <c r="R7" s="727"/>
      <c r="S7" s="727"/>
    </row>
    <row r="8" spans="1:19">
      <c r="A8" s="739"/>
      <c r="B8" s="728" t="s">
        <v>645</v>
      </c>
      <c r="C8" s="728" t="s">
        <v>646</v>
      </c>
      <c r="D8" s="728" t="s">
        <v>647</v>
      </c>
      <c r="E8" s="728" t="s">
        <v>648</v>
      </c>
      <c r="F8" s="728" t="s">
        <v>649</v>
      </c>
      <c r="G8" s="728" t="s">
        <v>650</v>
      </c>
      <c r="H8" s="728"/>
      <c r="I8" s="728" t="s">
        <v>651</v>
      </c>
      <c r="J8" s="728" t="s">
        <v>652</v>
      </c>
      <c r="K8" s="728" t="s">
        <v>653</v>
      </c>
      <c r="L8" s="728"/>
      <c r="M8" s="728" t="s">
        <v>654</v>
      </c>
      <c r="N8" s="728" t="s">
        <v>655</v>
      </c>
      <c r="O8" s="728" t="s">
        <v>656</v>
      </c>
      <c r="P8" s="727"/>
      <c r="Q8" s="728" t="s">
        <v>657</v>
      </c>
      <c r="R8" s="728" t="s">
        <v>658</v>
      </c>
      <c r="S8" s="728" t="s">
        <v>659</v>
      </c>
    </row>
    <row r="9" spans="1:19">
      <c r="A9" s="739"/>
      <c r="B9" s="727"/>
      <c r="C9" s="727"/>
      <c r="D9" s="727"/>
      <c r="E9" s="727"/>
      <c r="F9" s="727"/>
      <c r="G9" s="727"/>
      <c r="H9" s="727"/>
      <c r="I9" s="727"/>
      <c r="J9" s="727"/>
      <c r="K9" s="727"/>
      <c r="L9" s="727"/>
      <c r="M9" s="727"/>
      <c r="N9" s="727"/>
      <c r="O9" s="727"/>
      <c r="P9" s="727"/>
      <c r="Q9" s="727"/>
      <c r="R9" s="727"/>
      <c r="S9" s="727"/>
    </row>
    <row r="10" spans="1:19">
      <c r="A10" s="739"/>
      <c r="B10" s="727"/>
      <c r="C10" s="729" t="s">
        <v>660</v>
      </c>
      <c r="D10" s="729"/>
      <c r="E10" s="730" t="s">
        <v>661</v>
      </c>
      <c r="F10" s="729"/>
      <c r="G10" s="724" t="s">
        <v>662</v>
      </c>
      <c r="H10" s="724"/>
      <c r="I10" s="729" t="s">
        <v>663</v>
      </c>
      <c r="J10" s="729"/>
      <c r="K10" s="729"/>
      <c r="L10" s="724"/>
      <c r="M10" s="729" t="str">
        <f>"FUNCTIONALIZATION 12/31/"&amp;TCOS!L4-1</f>
        <v>FUNCTIONALIZATION 12/31/2025</v>
      </c>
      <c r="N10" s="729"/>
      <c r="O10" s="729"/>
      <c r="P10" s="727"/>
      <c r="Q10" s="729" t="str">
        <f>"FUNCTIONALIZATION 12/31/"&amp;TCOS!L4</f>
        <v>FUNCTIONALIZATION 12/31/2026</v>
      </c>
      <c r="R10" s="729"/>
      <c r="S10" s="729"/>
    </row>
    <row r="11" spans="1:19">
      <c r="A11" s="739"/>
      <c r="B11" s="727"/>
      <c r="C11" s="731"/>
      <c r="D11" s="731"/>
      <c r="E11" s="727"/>
      <c r="F11" s="727"/>
      <c r="G11" s="724" t="s">
        <v>664</v>
      </c>
      <c r="H11" s="724"/>
      <c r="I11" s="731"/>
      <c r="J11" s="731"/>
      <c r="K11" s="731"/>
      <c r="L11" s="724"/>
      <c r="M11" s="731"/>
      <c r="N11" s="731"/>
      <c r="O11" s="731"/>
      <c r="P11" s="727"/>
      <c r="Q11" s="731"/>
      <c r="R11" s="731"/>
      <c r="S11" s="731"/>
    </row>
    <row r="12" spans="1:19" s="750" customFormat="1">
      <c r="A12" s="751"/>
      <c r="B12" s="749"/>
      <c r="C12" s="752" t="s">
        <v>665</v>
      </c>
      <c r="D12" s="752" t="s">
        <v>665</v>
      </c>
      <c r="E12" s="752" t="s">
        <v>665</v>
      </c>
      <c r="F12" s="752" t="s">
        <v>665</v>
      </c>
      <c r="G12" s="752" t="s">
        <v>666</v>
      </c>
      <c r="H12" s="752"/>
      <c r="I12" s="749"/>
      <c r="J12" s="749"/>
      <c r="K12" s="749"/>
      <c r="L12" s="752"/>
      <c r="M12" s="749"/>
      <c r="N12" s="749"/>
      <c r="O12" s="749"/>
      <c r="P12" s="749"/>
      <c r="Q12" s="749"/>
      <c r="R12" s="749"/>
      <c r="S12" s="749"/>
    </row>
    <row r="13" spans="1:19" s="750" customFormat="1">
      <c r="A13" s="751"/>
      <c r="B13" s="753" t="s">
        <v>667</v>
      </c>
      <c r="C13" s="753" t="str">
        <f>"OF 12-31-"&amp;TCOS!L4-1</f>
        <v>OF 12-31-2025</v>
      </c>
      <c r="D13" s="753" t="str">
        <f>"OF 12-31-"&amp;TCOS!L4</f>
        <v>OF 12-31-2026</v>
      </c>
      <c r="E13" s="753" t="str">
        <f>"OF 12-31-"&amp;TCOS!L4-1</f>
        <v>OF 12-31-2025</v>
      </c>
      <c r="F13" s="753" t="str">
        <f>"OF 12-31-"&amp;TCOS!L4</f>
        <v>OF 12-31-2026</v>
      </c>
      <c r="G13" s="753" t="s">
        <v>668</v>
      </c>
      <c r="H13" s="753"/>
      <c r="I13" s="753" t="s">
        <v>669</v>
      </c>
      <c r="J13" s="753" t="s">
        <v>670</v>
      </c>
      <c r="K13" s="753" t="s">
        <v>671</v>
      </c>
      <c r="L13" s="753"/>
      <c r="M13" s="753" t="s">
        <v>669</v>
      </c>
      <c r="N13" s="753" t="s">
        <v>670</v>
      </c>
      <c r="O13" s="753" t="s">
        <v>671</v>
      </c>
      <c r="P13" s="749"/>
      <c r="Q13" s="753" t="s">
        <v>669</v>
      </c>
      <c r="R13" s="753" t="s">
        <v>670</v>
      </c>
      <c r="S13" s="753" t="s">
        <v>671</v>
      </c>
    </row>
    <row r="14" spans="1:19">
      <c r="A14" s="739"/>
      <c r="B14" s="727"/>
      <c r="C14" s="727"/>
      <c r="D14" s="727"/>
      <c r="E14" s="727"/>
      <c r="F14" s="727"/>
      <c r="G14" s="727"/>
      <c r="H14" s="727"/>
      <c r="I14" s="727"/>
      <c r="J14" s="727"/>
      <c r="K14" s="727"/>
      <c r="L14" s="727"/>
      <c r="M14" s="727"/>
      <c r="N14" s="727"/>
      <c r="O14" s="727"/>
      <c r="P14" s="727"/>
      <c r="Q14" s="727"/>
      <c r="R14" s="727"/>
      <c r="S14" s="727"/>
    </row>
    <row r="15" spans="1:19">
      <c r="A15" s="747">
        <v>1</v>
      </c>
      <c r="B15" s="725" t="s">
        <v>672</v>
      </c>
      <c r="C15" s="733"/>
      <c r="D15" s="733"/>
      <c r="E15" s="733"/>
      <c r="F15" s="734"/>
      <c r="G15" s="733"/>
      <c r="H15" s="733"/>
      <c r="I15" s="733"/>
      <c r="J15" s="733"/>
      <c r="K15" s="733"/>
      <c r="L15" s="733"/>
      <c r="M15" s="733"/>
      <c r="N15" s="733"/>
      <c r="O15" s="733"/>
      <c r="P15" s="733"/>
      <c r="Q15" s="733"/>
      <c r="R15" s="733"/>
      <c r="S15" s="733"/>
    </row>
    <row r="16" spans="1:19">
      <c r="A16" s="747">
        <v>2.0099999999999998</v>
      </c>
      <c r="B16" s="725"/>
      <c r="C16" s="733"/>
      <c r="D16" s="733"/>
      <c r="E16" s="733"/>
      <c r="F16" s="733"/>
      <c r="G16" s="733"/>
      <c r="H16" s="733"/>
      <c r="I16" s="733"/>
      <c r="J16" s="733"/>
      <c r="K16" s="733"/>
      <c r="L16" s="733"/>
      <c r="M16" s="733"/>
      <c r="N16" s="733"/>
      <c r="O16" s="733"/>
      <c r="P16" s="733"/>
      <c r="Q16" s="733"/>
      <c r="R16" s="733"/>
      <c r="S16" s="733"/>
    </row>
    <row r="17" spans="1:19">
      <c r="A17" s="747">
        <v>2.02</v>
      </c>
      <c r="B17" s="725"/>
      <c r="C17" s="733">
        <f>SUM(M17:O17)</f>
        <v>0</v>
      </c>
      <c r="D17" s="733">
        <f>SUM(Q17:S17)</f>
        <v>0</v>
      </c>
      <c r="E17" s="733"/>
      <c r="F17" s="733"/>
      <c r="G17" s="733">
        <f>ROUND(SUM(C17:F17)/2,0)</f>
        <v>0</v>
      </c>
      <c r="H17" s="733"/>
      <c r="I17" s="733">
        <f>(M17+Q17)/2</f>
        <v>0</v>
      </c>
      <c r="J17" s="733">
        <f>(N17+R17)/2</f>
        <v>0</v>
      </c>
      <c r="K17" s="733">
        <f>(O17+S17)/2</f>
        <v>0</v>
      </c>
      <c r="L17" s="733"/>
      <c r="M17" s="725"/>
      <c r="N17" s="725"/>
      <c r="O17" s="725"/>
      <c r="P17" s="733"/>
      <c r="Q17" s="725"/>
      <c r="R17" s="725"/>
      <c r="S17" s="725"/>
    </row>
    <row r="18" spans="1:19">
      <c r="A18" s="747">
        <v>2.0299999999999998</v>
      </c>
      <c r="B18" s="725"/>
      <c r="C18" s="733"/>
      <c r="D18" s="733"/>
      <c r="E18" s="733"/>
      <c r="F18" s="733"/>
      <c r="G18" s="733"/>
      <c r="H18" s="733"/>
      <c r="I18" s="733"/>
      <c r="J18" s="733"/>
      <c r="K18" s="733"/>
      <c r="L18" s="733"/>
      <c r="M18" s="733"/>
      <c r="N18" s="733"/>
      <c r="O18" s="733"/>
      <c r="P18" s="733"/>
      <c r="Q18" s="733"/>
      <c r="R18" s="733"/>
      <c r="S18" s="733"/>
    </row>
    <row r="19" spans="1:19">
      <c r="A19" s="747">
        <v>2.04</v>
      </c>
      <c r="B19" s="725"/>
      <c r="C19" s="733">
        <v>0</v>
      </c>
      <c r="D19" s="733">
        <v>0</v>
      </c>
      <c r="E19" s="733">
        <f t="shared" ref="E19:F21" si="0">-C19</f>
        <v>0</v>
      </c>
      <c r="F19" s="733">
        <f t="shared" si="0"/>
        <v>0</v>
      </c>
      <c r="G19" s="733">
        <f>ROUND(SUM(C19:F19)/2,0)</f>
        <v>0</v>
      </c>
      <c r="H19" s="733"/>
      <c r="I19" s="733"/>
      <c r="J19" s="733"/>
      <c r="K19" s="733"/>
      <c r="L19" s="733"/>
      <c r="M19" s="733"/>
      <c r="N19" s="733"/>
      <c r="O19" s="733"/>
      <c r="P19" s="733"/>
      <c r="Q19" s="733"/>
      <c r="R19" s="733"/>
      <c r="S19" s="733"/>
    </row>
    <row r="20" spans="1:19">
      <c r="A20" s="747">
        <v>2.0499999999999998</v>
      </c>
      <c r="B20" s="725"/>
      <c r="C20" s="733">
        <v>0</v>
      </c>
      <c r="D20" s="733">
        <v>0</v>
      </c>
      <c r="E20" s="733">
        <f t="shared" si="0"/>
        <v>0</v>
      </c>
      <c r="F20" s="733">
        <f t="shared" si="0"/>
        <v>0</v>
      </c>
      <c r="G20" s="733">
        <f>ROUND(SUM(C20:F20)/2,0)</f>
        <v>0</v>
      </c>
      <c r="H20" s="733"/>
      <c r="I20" s="733"/>
      <c r="J20" s="733"/>
      <c r="K20" s="733"/>
      <c r="L20" s="733"/>
      <c r="M20" s="733"/>
      <c r="N20" s="733"/>
      <c r="O20" s="733"/>
      <c r="P20" s="733"/>
      <c r="Q20" s="733"/>
      <c r="R20" s="733"/>
      <c r="S20" s="733"/>
    </row>
    <row r="21" spans="1:19">
      <c r="A21" s="747">
        <v>2.06</v>
      </c>
      <c r="B21" s="725"/>
      <c r="C21" s="733">
        <v>0</v>
      </c>
      <c r="D21" s="733">
        <v>0</v>
      </c>
      <c r="E21" s="733">
        <f t="shared" si="0"/>
        <v>0</v>
      </c>
      <c r="F21" s="733">
        <f t="shared" si="0"/>
        <v>0</v>
      </c>
      <c r="G21" s="733">
        <f>ROUND(SUM(C21:F21)/2,0)</f>
        <v>0</v>
      </c>
      <c r="H21" s="733"/>
      <c r="I21" s="733"/>
      <c r="J21" s="733"/>
      <c r="K21" s="733"/>
      <c r="L21" s="733"/>
      <c r="M21" s="733"/>
      <c r="N21" s="733"/>
      <c r="O21" s="733"/>
      <c r="P21" s="733"/>
      <c r="Q21" s="733"/>
      <c r="R21" s="733"/>
      <c r="S21" s="733"/>
    </row>
    <row r="22" spans="1:19">
      <c r="A22" s="740"/>
      <c r="B22" s="727"/>
      <c r="C22" s="733"/>
      <c r="D22" s="733"/>
      <c r="E22" s="733"/>
      <c r="F22" s="733"/>
      <c r="G22" s="733"/>
      <c r="H22" s="733"/>
      <c r="I22" s="733"/>
      <c r="J22" s="733"/>
      <c r="K22" s="733"/>
      <c r="L22" s="733"/>
      <c r="M22" s="733"/>
      <c r="N22" s="733"/>
      <c r="O22" s="733"/>
      <c r="P22" s="733"/>
      <c r="Q22" s="733"/>
      <c r="R22" s="733"/>
      <c r="S22" s="733"/>
    </row>
    <row r="23" spans="1:19" ht="13.5" thickBot="1">
      <c r="A23" s="740">
        <v>3</v>
      </c>
      <c r="B23" s="723" t="s">
        <v>673</v>
      </c>
      <c r="C23" s="735">
        <f>SUM(C17:C22)</f>
        <v>0</v>
      </c>
      <c r="D23" s="735">
        <f>SUM(D17:D22)</f>
        <v>0</v>
      </c>
      <c r="E23" s="735">
        <f>SUM(E17:E22)</f>
        <v>0</v>
      </c>
      <c r="F23" s="735">
        <f>SUM(F17:F22)</f>
        <v>0</v>
      </c>
      <c r="G23" s="735">
        <f>SUM(G17:G22)</f>
        <v>0</v>
      </c>
      <c r="H23" s="733"/>
      <c r="I23" s="735">
        <f>SUM(I17:I22)</f>
        <v>0</v>
      </c>
      <c r="J23" s="735">
        <f>SUM(J17:J22)</f>
        <v>0</v>
      </c>
      <c r="K23" s="735">
        <f>SUM(K17:K22)</f>
        <v>0</v>
      </c>
      <c r="L23" s="733"/>
      <c r="M23" s="735">
        <f>SUM(M17:M22)</f>
        <v>0</v>
      </c>
      <c r="N23" s="735">
        <f>SUM(N17:N22)</f>
        <v>0</v>
      </c>
      <c r="O23" s="735">
        <f>SUM(O17:O22)</f>
        <v>0</v>
      </c>
      <c r="P23" s="733"/>
      <c r="Q23" s="735">
        <f>SUM(Q17:Q22)</f>
        <v>0</v>
      </c>
      <c r="R23" s="735">
        <f>SUM(R17:R22)</f>
        <v>0</v>
      </c>
      <c r="S23" s="735">
        <f>SUM(S17:S22)</f>
        <v>0</v>
      </c>
    </row>
    <row r="24" spans="1:19" ht="13.5" thickTop="1">
      <c r="A24" s="740">
        <f>A23+1</f>
        <v>4</v>
      </c>
      <c r="B24" s="727" t="s">
        <v>674</v>
      </c>
      <c r="C24" s="744">
        <v>0</v>
      </c>
      <c r="D24" s="744">
        <v>0</v>
      </c>
      <c r="E24" s="744">
        <v>0</v>
      </c>
      <c r="F24" s="744">
        <v>0</v>
      </c>
      <c r="G24" s="744">
        <v>0</v>
      </c>
      <c r="H24" s="745"/>
      <c r="I24" s="744">
        <v>0</v>
      </c>
      <c r="J24" s="744">
        <v>0</v>
      </c>
      <c r="K24" s="744">
        <v>0</v>
      </c>
      <c r="L24" s="745"/>
      <c r="M24" s="744">
        <v>0</v>
      </c>
      <c r="N24" s="744">
        <v>0</v>
      </c>
      <c r="O24" s="744">
        <v>0</v>
      </c>
      <c r="P24" s="745"/>
      <c r="Q24" s="744">
        <v>0</v>
      </c>
      <c r="R24" s="744">
        <v>0</v>
      </c>
      <c r="S24" s="744">
        <v>0</v>
      </c>
    </row>
    <row r="25" spans="1:19">
      <c r="A25" s="740"/>
      <c r="B25" s="727"/>
      <c r="C25" s="733"/>
      <c r="D25" s="733"/>
      <c r="E25" s="733"/>
      <c r="F25" s="733"/>
      <c r="G25" s="733"/>
      <c r="H25" s="733"/>
      <c r="I25" s="733"/>
      <c r="J25" s="733"/>
      <c r="K25" s="733"/>
      <c r="L25" s="733"/>
      <c r="M25" s="733"/>
      <c r="N25" s="733"/>
      <c r="O25" s="733"/>
      <c r="P25" s="733"/>
      <c r="Q25" s="733"/>
      <c r="R25" s="733"/>
      <c r="S25" s="733"/>
    </row>
    <row r="26" spans="1:19">
      <c r="A26" s="740">
        <v>5</v>
      </c>
      <c r="B26" s="723" t="s">
        <v>675</v>
      </c>
      <c r="C26" s="733"/>
      <c r="D26" s="733"/>
      <c r="E26" s="733"/>
      <c r="F26" s="733"/>
      <c r="G26" s="733"/>
      <c r="H26" s="733"/>
      <c r="I26" s="733"/>
      <c r="J26" s="733"/>
      <c r="K26" s="733"/>
      <c r="L26" s="733"/>
      <c r="M26" s="733"/>
      <c r="N26" s="733"/>
      <c r="O26" s="733"/>
      <c r="P26" s="733"/>
      <c r="Q26" s="733"/>
      <c r="R26" s="733"/>
      <c r="S26" s="733"/>
    </row>
    <row r="27" spans="1:19">
      <c r="A27" s="746"/>
      <c r="B27" s="727"/>
      <c r="C27" s="733"/>
      <c r="D27" s="733"/>
      <c r="E27" s="733"/>
      <c r="F27" s="733"/>
      <c r="G27" s="733"/>
      <c r="H27" s="733"/>
      <c r="I27" s="733"/>
      <c r="J27" s="733"/>
      <c r="K27" s="733"/>
      <c r="L27" s="733"/>
      <c r="M27" s="733"/>
      <c r="N27" s="733"/>
      <c r="O27" s="733"/>
      <c r="P27" s="733"/>
      <c r="Q27" s="733"/>
      <c r="R27" s="733"/>
      <c r="S27" s="733"/>
    </row>
    <row r="28" spans="1:19">
      <c r="A28" s="747">
        <v>5.01</v>
      </c>
      <c r="B28" s="725"/>
      <c r="C28" s="733">
        <f t="shared" ref="C28:C64" si="1">SUM(M28:O28)</f>
        <v>0</v>
      </c>
      <c r="D28" s="733">
        <f t="shared" ref="D28:D64" si="2">SUM(Q28:S28)</f>
        <v>0</v>
      </c>
      <c r="E28" s="733"/>
      <c r="F28" s="733"/>
      <c r="G28" s="733">
        <f t="shared" ref="G28:G50" si="3">ROUND(SUM(C28:F28)/2,0)</f>
        <v>0</v>
      </c>
      <c r="H28" s="733"/>
      <c r="I28" s="733">
        <f t="shared" ref="I28:K65" si="4">(M28+Q28)/2</f>
        <v>0</v>
      </c>
      <c r="J28" s="733">
        <f t="shared" si="4"/>
        <v>0</v>
      </c>
      <c r="K28" s="733">
        <f t="shared" si="4"/>
        <v>0</v>
      </c>
      <c r="L28" s="733"/>
      <c r="M28" s="725"/>
      <c r="N28" s="725"/>
      <c r="O28" s="725"/>
      <c r="P28" s="733"/>
      <c r="Q28" s="725"/>
      <c r="R28" s="725"/>
      <c r="S28" s="725"/>
    </row>
    <row r="29" spans="1:19">
      <c r="A29" s="747">
        <f>A28+0.01</f>
        <v>5.0199999999999996</v>
      </c>
      <c r="B29" s="725"/>
      <c r="C29" s="733">
        <f>SUM(M29:O29)</f>
        <v>0</v>
      </c>
      <c r="D29" s="733">
        <f>SUM(Q29:S29)</f>
        <v>0</v>
      </c>
      <c r="E29" s="733"/>
      <c r="F29" s="733"/>
      <c r="G29" s="733">
        <f t="shared" si="3"/>
        <v>0</v>
      </c>
      <c r="H29" s="733"/>
      <c r="I29" s="733">
        <f t="shared" si="4"/>
        <v>0</v>
      </c>
      <c r="J29" s="733">
        <f t="shared" si="4"/>
        <v>0</v>
      </c>
      <c r="K29" s="733">
        <f t="shared" si="4"/>
        <v>0</v>
      </c>
      <c r="L29" s="733"/>
      <c r="M29" s="725"/>
      <c r="N29" s="725"/>
      <c r="O29" s="725"/>
      <c r="P29" s="733"/>
      <c r="Q29" s="725"/>
      <c r="R29" s="725"/>
      <c r="S29" s="725"/>
    </row>
    <row r="30" spans="1:19">
      <c r="A30" s="747">
        <f t="shared" ref="A30:A68" si="5">A29+0.01</f>
        <v>5.0299999999999994</v>
      </c>
      <c r="B30" s="725"/>
      <c r="C30" s="733">
        <f t="shared" si="1"/>
        <v>0</v>
      </c>
      <c r="D30" s="733">
        <f t="shared" si="2"/>
        <v>0</v>
      </c>
      <c r="E30" s="733"/>
      <c r="F30" s="733"/>
      <c r="G30" s="733">
        <f t="shared" si="3"/>
        <v>0</v>
      </c>
      <c r="H30" s="733"/>
      <c r="I30" s="733">
        <f t="shared" si="4"/>
        <v>0</v>
      </c>
      <c r="J30" s="733">
        <f t="shared" si="4"/>
        <v>0</v>
      </c>
      <c r="K30" s="733">
        <f t="shared" si="4"/>
        <v>0</v>
      </c>
      <c r="L30" s="733"/>
      <c r="M30" s="754"/>
      <c r="N30" s="754"/>
      <c r="O30" s="725"/>
      <c r="P30" s="733"/>
      <c r="Q30" s="754"/>
      <c r="R30" s="754"/>
      <c r="S30" s="725"/>
    </row>
    <row r="31" spans="1:19">
      <c r="A31" s="747">
        <f t="shared" si="5"/>
        <v>5.0399999999999991</v>
      </c>
      <c r="B31" s="725"/>
      <c r="C31" s="733">
        <f>SUM(M31:O31)</f>
        <v>0</v>
      </c>
      <c r="D31" s="733">
        <f>SUM(Q31:S31)</f>
        <v>0</v>
      </c>
      <c r="E31" s="733"/>
      <c r="F31" s="733"/>
      <c r="G31" s="733">
        <f t="shared" si="3"/>
        <v>0</v>
      </c>
      <c r="H31" s="733"/>
      <c r="I31" s="733">
        <f t="shared" si="4"/>
        <v>0</v>
      </c>
      <c r="J31" s="733">
        <f t="shared" si="4"/>
        <v>0</v>
      </c>
      <c r="K31" s="733">
        <f t="shared" si="4"/>
        <v>0</v>
      </c>
      <c r="L31" s="733"/>
      <c r="M31" s="725"/>
      <c r="N31" s="725"/>
      <c r="O31" s="725"/>
      <c r="P31" s="733"/>
      <c r="Q31" s="725"/>
      <c r="R31" s="725"/>
      <c r="S31" s="725"/>
    </row>
    <row r="32" spans="1:19">
      <c r="A32" s="747">
        <f t="shared" si="5"/>
        <v>5.0499999999999989</v>
      </c>
      <c r="B32" s="725"/>
      <c r="C32" s="733">
        <f t="shared" si="1"/>
        <v>0</v>
      </c>
      <c r="D32" s="733">
        <f t="shared" si="2"/>
        <v>0</v>
      </c>
      <c r="E32" s="733"/>
      <c r="F32" s="733"/>
      <c r="G32" s="733">
        <f t="shared" si="3"/>
        <v>0</v>
      </c>
      <c r="H32" s="733"/>
      <c r="I32" s="733">
        <f t="shared" si="4"/>
        <v>0</v>
      </c>
      <c r="J32" s="733">
        <f t="shared" si="4"/>
        <v>0</v>
      </c>
      <c r="K32" s="733">
        <f t="shared" si="4"/>
        <v>0</v>
      </c>
      <c r="L32" s="733"/>
      <c r="M32" s="725"/>
      <c r="N32" s="725"/>
      <c r="O32" s="725"/>
      <c r="P32" s="733"/>
      <c r="Q32" s="725"/>
      <c r="R32" s="725"/>
      <c r="S32" s="725"/>
    </row>
    <row r="33" spans="1:19">
      <c r="A33" s="747">
        <f t="shared" si="5"/>
        <v>5.0599999999999987</v>
      </c>
      <c r="B33" s="725"/>
      <c r="C33" s="733">
        <f t="shared" ref="C33:C39" si="6">SUM(M33:O33)</f>
        <v>0</v>
      </c>
      <c r="D33" s="733">
        <f t="shared" ref="D33:D39" si="7">SUM(Q33:S33)</f>
        <v>0</v>
      </c>
      <c r="E33" s="733"/>
      <c r="F33" s="733"/>
      <c r="G33" s="733">
        <f t="shared" si="3"/>
        <v>0</v>
      </c>
      <c r="H33" s="733"/>
      <c r="I33" s="733">
        <f t="shared" si="4"/>
        <v>0</v>
      </c>
      <c r="J33" s="733">
        <f t="shared" si="4"/>
        <v>0</v>
      </c>
      <c r="K33" s="733">
        <f t="shared" si="4"/>
        <v>0</v>
      </c>
      <c r="L33" s="733"/>
      <c r="M33" s="725"/>
      <c r="N33" s="725"/>
      <c r="O33" s="725"/>
      <c r="P33" s="733"/>
      <c r="Q33" s="725"/>
      <c r="R33" s="725"/>
      <c r="S33" s="725"/>
    </row>
    <row r="34" spans="1:19">
      <c r="A34" s="747">
        <f t="shared" si="5"/>
        <v>5.0699999999999985</v>
      </c>
      <c r="B34" s="725"/>
      <c r="C34" s="737">
        <f t="shared" si="6"/>
        <v>0</v>
      </c>
      <c r="D34" s="737">
        <f t="shared" si="7"/>
        <v>0</v>
      </c>
      <c r="E34" s="737"/>
      <c r="F34" s="737"/>
      <c r="G34" s="737">
        <f t="shared" si="3"/>
        <v>0</v>
      </c>
      <c r="H34" s="737"/>
      <c r="I34" s="737">
        <f t="shared" si="4"/>
        <v>0</v>
      </c>
      <c r="J34" s="737">
        <f t="shared" si="4"/>
        <v>0</v>
      </c>
      <c r="K34" s="737">
        <f t="shared" si="4"/>
        <v>0</v>
      </c>
      <c r="L34" s="737"/>
      <c r="M34" s="725"/>
      <c r="N34" s="754"/>
      <c r="O34" s="725"/>
      <c r="P34" s="733"/>
      <c r="Q34" s="754"/>
      <c r="R34" s="754"/>
      <c r="S34" s="725"/>
    </row>
    <row r="35" spans="1:19">
      <c r="A35" s="747">
        <f t="shared" si="5"/>
        <v>5.0799999999999983</v>
      </c>
      <c r="B35" s="725"/>
      <c r="C35" s="737">
        <f t="shared" si="6"/>
        <v>0</v>
      </c>
      <c r="D35" s="737">
        <f t="shared" si="7"/>
        <v>0</v>
      </c>
      <c r="E35" s="737"/>
      <c r="F35" s="737"/>
      <c r="G35" s="737">
        <f t="shared" si="3"/>
        <v>0</v>
      </c>
      <c r="H35" s="737"/>
      <c r="I35" s="737">
        <f t="shared" si="4"/>
        <v>0</v>
      </c>
      <c r="J35" s="737">
        <f t="shared" si="4"/>
        <v>0</v>
      </c>
      <c r="K35" s="737">
        <f t="shared" si="4"/>
        <v>0</v>
      </c>
      <c r="L35" s="737"/>
      <c r="M35" s="725"/>
      <c r="N35" s="725"/>
      <c r="O35" s="725"/>
      <c r="P35" s="737"/>
      <c r="Q35" s="725"/>
      <c r="R35" s="725"/>
      <c r="S35" s="725"/>
    </row>
    <row r="36" spans="1:19">
      <c r="A36" s="747">
        <f t="shared" si="5"/>
        <v>5.0899999999999981</v>
      </c>
      <c r="B36" s="725"/>
      <c r="C36" s="733">
        <f>SUM(M36:O36)</f>
        <v>0</v>
      </c>
      <c r="D36" s="733">
        <f t="shared" si="7"/>
        <v>0</v>
      </c>
      <c r="E36" s="733"/>
      <c r="F36" s="733"/>
      <c r="G36" s="733">
        <f>ROUND(SUM(C36:F36)/2,0)</f>
        <v>0</v>
      </c>
      <c r="H36" s="733"/>
      <c r="I36" s="733">
        <f t="shared" si="4"/>
        <v>0</v>
      </c>
      <c r="J36" s="733">
        <f t="shared" si="4"/>
        <v>0</v>
      </c>
      <c r="K36" s="733">
        <f t="shared" si="4"/>
        <v>0</v>
      </c>
      <c r="L36" s="733"/>
      <c r="M36" s="725"/>
      <c r="N36" s="725"/>
      <c r="O36" s="725"/>
      <c r="P36" s="733"/>
      <c r="Q36" s="725"/>
      <c r="R36" s="725"/>
      <c r="S36" s="725"/>
    </row>
    <row r="37" spans="1:19">
      <c r="A37" s="747">
        <f t="shared" si="5"/>
        <v>5.0999999999999979</v>
      </c>
      <c r="B37" s="725"/>
      <c r="C37" s="733">
        <f t="shared" si="6"/>
        <v>0</v>
      </c>
      <c r="D37" s="733">
        <f t="shared" si="7"/>
        <v>0</v>
      </c>
      <c r="E37" s="733"/>
      <c r="F37" s="733"/>
      <c r="G37" s="733">
        <f t="shared" si="3"/>
        <v>0</v>
      </c>
      <c r="H37" s="733"/>
      <c r="I37" s="733">
        <f t="shared" si="4"/>
        <v>0</v>
      </c>
      <c r="J37" s="733">
        <f t="shared" si="4"/>
        <v>0</v>
      </c>
      <c r="K37" s="733">
        <f t="shared" si="4"/>
        <v>0</v>
      </c>
      <c r="L37" s="733"/>
      <c r="M37" s="725"/>
      <c r="N37" s="725"/>
      <c r="O37" s="725"/>
      <c r="P37" s="733"/>
      <c r="Q37" s="725"/>
      <c r="R37" s="725"/>
      <c r="S37" s="725"/>
    </row>
    <row r="38" spans="1:19">
      <c r="A38" s="747">
        <f t="shared" si="5"/>
        <v>5.1099999999999977</v>
      </c>
      <c r="B38" s="725"/>
      <c r="C38" s="733">
        <f t="shared" si="6"/>
        <v>0</v>
      </c>
      <c r="D38" s="733">
        <f t="shared" si="7"/>
        <v>0</v>
      </c>
      <c r="E38" s="733"/>
      <c r="F38" s="733"/>
      <c r="G38" s="733">
        <f t="shared" si="3"/>
        <v>0</v>
      </c>
      <c r="H38" s="733"/>
      <c r="I38" s="733">
        <f t="shared" si="4"/>
        <v>0</v>
      </c>
      <c r="J38" s="733">
        <f t="shared" si="4"/>
        <v>0</v>
      </c>
      <c r="K38" s="733">
        <f t="shared" si="4"/>
        <v>0</v>
      </c>
      <c r="L38" s="733"/>
      <c r="M38" s="725"/>
      <c r="N38" s="725"/>
      <c r="O38" s="725"/>
      <c r="P38" s="733"/>
      <c r="Q38" s="725"/>
      <c r="R38" s="725"/>
      <c r="S38" s="725"/>
    </row>
    <row r="39" spans="1:19">
      <c r="A39" s="747">
        <f t="shared" si="5"/>
        <v>5.1199999999999974</v>
      </c>
      <c r="B39" s="725"/>
      <c r="C39" s="733">
        <f t="shared" si="6"/>
        <v>0</v>
      </c>
      <c r="D39" s="733">
        <f t="shared" si="7"/>
        <v>0</v>
      </c>
      <c r="E39" s="733"/>
      <c r="F39" s="733"/>
      <c r="G39" s="733">
        <f t="shared" si="3"/>
        <v>0</v>
      </c>
      <c r="H39" s="733"/>
      <c r="I39" s="733">
        <f t="shared" si="4"/>
        <v>0</v>
      </c>
      <c r="J39" s="733">
        <f t="shared" si="4"/>
        <v>0</v>
      </c>
      <c r="K39" s="733">
        <f t="shared" si="4"/>
        <v>0</v>
      </c>
      <c r="L39" s="733"/>
      <c r="M39" s="725"/>
      <c r="N39" s="725"/>
      <c r="O39" s="725"/>
      <c r="P39" s="733"/>
      <c r="Q39" s="725"/>
      <c r="R39" s="725"/>
      <c r="S39" s="725"/>
    </row>
    <row r="40" spans="1:19">
      <c r="A40" s="747">
        <f t="shared" si="5"/>
        <v>5.1299999999999972</v>
      </c>
      <c r="B40" s="725"/>
      <c r="C40" s="733">
        <f t="shared" si="1"/>
        <v>0</v>
      </c>
      <c r="D40" s="733">
        <f t="shared" si="2"/>
        <v>0</v>
      </c>
      <c r="E40" s="733"/>
      <c r="F40" s="733"/>
      <c r="G40" s="733">
        <f t="shared" si="3"/>
        <v>0</v>
      </c>
      <c r="H40" s="733"/>
      <c r="I40" s="733">
        <f t="shared" si="4"/>
        <v>0</v>
      </c>
      <c r="J40" s="733">
        <f t="shared" si="4"/>
        <v>0</v>
      </c>
      <c r="K40" s="733">
        <f t="shared" si="4"/>
        <v>0</v>
      </c>
      <c r="L40" s="733"/>
      <c r="M40" s="725"/>
      <c r="N40" s="725"/>
      <c r="O40" s="725"/>
      <c r="P40" s="733"/>
      <c r="Q40" s="725"/>
      <c r="R40" s="725"/>
      <c r="S40" s="725"/>
    </row>
    <row r="41" spans="1:19">
      <c r="A41" s="747">
        <f t="shared" si="5"/>
        <v>5.139999999999997</v>
      </c>
      <c r="B41" s="725"/>
      <c r="C41" s="733">
        <f t="shared" si="1"/>
        <v>0</v>
      </c>
      <c r="D41" s="733">
        <f t="shared" si="2"/>
        <v>0</v>
      </c>
      <c r="E41" s="733"/>
      <c r="F41" s="733"/>
      <c r="G41" s="733">
        <f t="shared" si="3"/>
        <v>0</v>
      </c>
      <c r="H41" s="733"/>
      <c r="I41" s="733">
        <f t="shared" si="4"/>
        <v>0</v>
      </c>
      <c r="J41" s="733">
        <f t="shared" si="4"/>
        <v>0</v>
      </c>
      <c r="K41" s="733">
        <f t="shared" si="4"/>
        <v>0</v>
      </c>
      <c r="L41" s="733"/>
      <c r="M41" s="725"/>
      <c r="N41" s="725"/>
      <c r="O41" s="725"/>
      <c r="P41" s="733"/>
      <c r="Q41" s="725"/>
      <c r="R41" s="725"/>
      <c r="S41" s="725"/>
    </row>
    <row r="42" spans="1:19">
      <c r="A42" s="747">
        <f t="shared" si="5"/>
        <v>5.1499999999999968</v>
      </c>
      <c r="B42" s="725"/>
      <c r="C42" s="733">
        <f t="shared" si="1"/>
        <v>0</v>
      </c>
      <c r="D42" s="733">
        <f t="shared" si="2"/>
        <v>0</v>
      </c>
      <c r="E42" s="733"/>
      <c r="F42" s="733"/>
      <c r="G42" s="733">
        <f t="shared" si="3"/>
        <v>0</v>
      </c>
      <c r="H42" s="733"/>
      <c r="I42" s="733">
        <f t="shared" si="4"/>
        <v>0</v>
      </c>
      <c r="J42" s="733">
        <f t="shared" si="4"/>
        <v>0</v>
      </c>
      <c r="K42" s="733">
        <f t="shared" si="4"/>
        <v>0</v>
      </c>
      <c r="L42" s="733"/>
      <c r="M42" s="725"/>
      <c r="N42" s="725"/>
      <c r="O42" s="725"/>
      <c r="P42" s="733"/>
      <c r="Q42" s="725"/>
      <c r="R42" s="725"/>
      <c r="S42" s="725"/>
    </row>
    <row r="43" spans="1:19">
      <c r="A43" s="747">
        <f t="shared" si="5"/>
        <v>5.1599999999999966</v>
      </c>
      <c r="B43" s="725"/>
      <c r="C43" s="733">
        <f t="shared" si="1"/>
        <v>0</v>
      </c>
      <c r="D43" s="733">
        <f t="shared" si="2"/>
        <v>0</v>
      </c>
      <c r="E43" s="733"/>
      <c r="F43" s="733"/>
      <c r="G43" s="733">
        <f t="shared" si="3"/>
        <v>0</v>
      </c>
      <c r="H43" s="733"/>
      <c r="I43" s="733">
        <f t="shared" si="4"/>
        <v>0</v>
      </c>
      <c r="J43" s="733">
        <f t="shared" si="4"/>
        <v>0</v>
      </c>
      <c r="K43" s="733">
        <f t="shared" si="4"/>
        <v>0</v>
      </c>
      <c r="L43" s="733"/>
      <c r="M43" s="725"/>
      <c r="N43" s="725"/>
      <c r="O43" s="725"/>
      <c r="P43" s="733"/>
      <c r="Q43" s="725"/>
      <c r="R43" s="725"/>
      <c r="S43" s="725"/>
    </row>
    <row r="44" spans="1:19">
      <c r="A44" s="747">
        <f t="shared" si="5"/>
        <v>5.1699999999999964</v>
      </c>
      <c r="B44" s="725"/>
      <c r="C44" s="733">
        <f t="shared" si="1"/>
        <v>0</v>
      </c>
      <c r="D44" s="733">
        <f t="shared" si="2"/>
        <v>0</v>
      </c>
      <c r="E44" s="733"/>
      <c r="F44" s="733"/>
      <c r="G44" s="733">
        <f t="shared" si="3"/>
        <v>0</v>
      </c>
      <c r="H44" s="733"/>
      <c r="I44" s="733">
        <f t="shared" si="4"/>
        <v>0</v>
      </c>
      <c r="J44" s="733">
        <f t="shared" si="4"/>
        <v>0</v>
      </c>
      <c r="K44" s="733">
        <f t="shared" si="4"/>
        <v>0</v>
      </c>
      <c r="L44" s="733"/>
      <c r="M44" s="725"/>
      <c r="N44" s="725"/>
      <c r="O44" s="725"/>
      <c r="P44" s="733"/>
      <c r="Q44" s="725"/>
      <c r="R44" s="725"/>
      <c r="S44" s="725"/>
    </row>
    <row r="45" spans="1:19">
      <c r="A45" s="747">
        <f t="shared" si="5"/>
        <v>5.1799999999999962</v>
      </c>
      <c r="B45" s="725"/>
      <c r="C45" s="733">
        <f t="shared" si="1"/>
        <v>0</v>
      </c>
      <c r="D45" s="733">
        <f t="shared" si="2"/>
        <v>0</v>
      </c>
      <c r="E45" s="733"/>
      <c r="F45" s="733"/>
      <c r="G45" s="733">
        <f t="shared" si="3"/>
        <v>0</v>
      </c>
      <c r="H45" s="733"/>
      <c r="I45" s="733">
        <f t="shared" si="4"/>
        <v>0</v>
      </c>
      <c r="J45" s="733">
        <f t="shared" si="4"/>
        <v>0</v>
      </c>
      <c r="K45" s="733">
        <f t="shared" si="4"/>
        <v>0</v>
      </c>
      <c r="L45" s="733"/>
      <c r="M45" s="725"/>
      <c r="N45" s="725"/>
      <c r="O45" s="725"/>
      <c r="P45" s="733"/>
      <c r="Q45" s="725"/>
      <c r="R45" s="725"/>
      <c r="S45" s="725"/>
    </row>
    <row r="46" spans="1:19">
      <c r="A46" s="747">
        <f t="shared" si="5"/>
        <v>5.1899999999999959</v>
      </c>
      <c r="B46" s="725"/>
      <c r="C46" s="733">
        <f t="shared" si="1"/>
        <v>0</v>
      </c>
      <c r="D46" s="733">
        <f t="shared" si="2"/>
        <v>0</v>
      </c>
      <c r="E46" s="733"/>
      <c r="F46" s="733"/>
      <c r="G46" s="733">
        <f t="shared" si="3"/>
        <v>0</v>
      </c>
      <c r="H46" s="733"/>
      <c r="I46" s="733">
        <f t="shared" si="4"/>
        <v>0</v>
      </c>
      <c r="J46" s="733">
        <f t="shared" si="4"/>
        <v>0</v>
      </c>
      <c r="K46" s="733">
        <f t="shared" si="4"/>
        <v>0</v>
      </c>
      <c r="L46" s="733"/>
      <c r="M46" s="725"/>
      <c r="N46" s="725"/>
      <c r="O46" s="725"/>
      <c r="P46" s="733"/>
      <c r="Q46" s="725"/>
      <c r="R46" s="725"/>
      <c r="S46" s="725"/>
    </row>
    <row r="47" spans="1:19">
      <c r="A47" s="747">
        <f t="shared" si="5"/>
        <v>5.1999999999999957</v>
      </c>
      <c r="B47" s="725"/>
      <c r="C47" s="733">
        <f t="shared" si="1"/>
        <v>0</v>
      </c>
      <c r="D47" s="733">
        <f t="shared" si="2"/>
        <v>0</v>
      </c>
      <c r="E47" s="733"/>
      <c r="F47" s="733"/>
      <c r="G47" s="733">
        <f t="shared" si="3"/>
        <v>0</v>
      </c>
      <c r="H47" s="733"/>
      <c r="I47" s="733">
        <f t="shared" si="4"/>
        <v>0</v>
      </c>
      <c r="J47" s="733">
        <f t="shared" si="4"/>
        <v>0</v>
      </c>
      <c r="K47" s="733">
        <f t="shared" si="4"/>
        <v>0</v>
      </c>
      <c r="L47" s="733"/>
      <c r="M47" s="725"/>
      <c r="N47" s="725"/>
      <c r="O47" s="725"/>
      <c r="P47" s="733"/>
      <c r="Q47" s="725"/>
      <c r="R47" s="725"/>
      <c r="S47" s="725"/>
    </row>
    <row r="48" spans="1:19">
      <c r="A48" s="747">
        <f t="shared" si="5"/>
        <v>5.2099999999999955</v>
      </c>
      <c r="B48" s="725"/>
      <c r="C48" s="733">
        <f t="shared" si="1"/>
        <v>0</v>
      </c>
      <c r="D48" s="733">
        <f t="shared" si="2"/>
        <v>0</v>
      </c>
      <c r="E48" s="733"/>
      <c r="F48" s="733"/>
      <c r="G48" s="733">
        <f t="shared" si="3"/>
        <v>0</v>
      </c>
      <c r="H48" s="733"/>
      <c r="I48" s="733">
        <f t="shared" si="4"/>
        <v>0</v>
      </c>
      <c r="J48" s="733">
        <f t="shared" si="4"/>
        <v>0</v>
      </c>
      <c r="K48" s="733">
        <f t="shared" si="4"/>
        <v>0</v>
      </c>
      <c r="L48" s="733"/>
      <c r="M48" s="725"/>
      <c r="N48" s="725"/>
      <c r="O48" s="725"/>
      <c r="P48" s="733"/>
      <c r="Q48" s="725"/>
      <c r="R48" s="725"/>
      <c r="S48" s="725"/>
    </row>
    <row r="49" spans="1:19">
      <c r="A49" s="747">
        <f t="shared" si="5"/>
        <v>5.2199999999999953</v>
      </c>
      <c r="B49" s="725"/>
      <c r="C49" s="733">
        <f t="shared" ref="C49:C55" si="8">SUM(M49:O49)</f>
        <v>0</v>
      </c>
      <c r="D49" s="733">
        <f t="shared" ref="D49:D55" si="9">SUM(Q49:S49)</f>
        <v>0</v>
      </c>
      <c r="E49" s="733"/>
      <c r="F49" s="733"/>
      <c r="G49" s="733">
        <f t="shared" si="3"/>
        <v>0</v>
      </c>
      <c r="H49" s="733"/>
      <c r="I49" s="733">
        <f t="shared" si="4"/>
        <v>0</v>
      </c>
      <c r="J49" s="733">
        <f t="shared" si="4"/>
        <v>0</v>
      </c>
      <c r="K49" s="733">
        <f t="shared" si="4"/>
        <v>0</v>
      </c>
      <c r="L49" s="733"/>
      <c r="M49" s="725"/>
      <c r="N49" s="725"/>
      <c r="O49" s="725"/>
      <c r="P49" s="733"/>
      <c r="Q49" s="725"/>
      <c r="R49" s="725"/>
      <c r="S49" s="725"/>
    </row>
    <row r="50" spans="1:19">
      <c r="A50" s="747">
        <f t="shared" si="5"/>
        <v>5.2299999999999951</v>
      </c>
      <c r="B50" s="725"/>
      <c r="C50" s="733">
        <f t="shared" si="8"/>
        <v>0</v>
      </c>
      <c r="D50" s="733">
        <f t="shared" si="9"/>
        <v>0</v>
      </c>
      <c r="E50" s="733"/>
      <c r="F50" s="733"/>
      <c r="G50" s="733">
        <f t="shared" si="3"/>
        <v>0</v>
      </c>
      <c r="H50" s="733"/>
      <c r="I50" s="733">
        <f t="shared" si="4"/>
        <v>0</v>
      </c>
      <c r="J50" s="733">
        <f t="shared" si="4"/>
        <v>0</v>
      </c>
      <c r="K50" s="733">
        <f t="shared" si="4"/>
        <v>0</v>
      </c>
      <c r="L50" s="733"/>
      <c r="M50" s="725"/>
      <c r="N50" s="725"/>
      <c r="O50" s="725"/>
      <c r="P50" s="733"/>
      <c r="Q50" s="725"/>
      <c r="R50" s="725"/>
      <c r="S50" s="725"/>
    </row>
    <row r="51" spans="1:19">
      <c r="A51" s="747">
        <f t="shared" si="5"/>
        <v>5.2399999999999949</v>
      </c>
      <c r="B51" s="725"/>
      <c r="C51" s="733">
        <f t="shared" si="8"/>
        <v>0</v>
      </c>
      <c r="D51" s="733">
        <f t="shared" si="9"/>
        <v>0</v>
      </c>
      <c r="E51" s="733"/>
      <c r="F51" s="733"/>
      <c r="G51" s="733">
        <f>ROUND(SUM(C51:F51)/2,0)</f>
        <v>0</v>
      </c>
      <c r="H51" s="733"/>
      <c r="I51" s="733">
        <f t="shared" si="4"/>
        <v>0</v>
      </c>
      <c r="J51" s="733">
        <f t="shared" si="4"/>
        <v>0</v>
      </c>
      <c r="K51" s="733">
        <f t="shared" si="4"/>
        <v>0</v>
      </c>
      <c r="L51" s="733"/>
      <c r="M51" s="725"/>
      <c r="N51" s="725"/>
      <c r="O51" s="725"/>
      <c r="P51" s="733"/>
      <c r="Q51" s="725"/>
      <c r="R51" s="725"/>
      <c r="S51" s="725"/>
    </row>
    <row r="52" spans="1:19">
      <c r="A52" s="747">
        <f t="shared" si="5"/>
        <v>5.2499999999999947</v>
      </c>
      <c r="B52" s="725"/>
      <c r="C52" s="733">
        <f t="shared" si="8"/>
        <v>0</v>
      </c>
      <c r="D52" s="733">
        <f t="shared" si="9"/>
        <v>0</v>
      </c>
      <c r="E52" s="733"/>
      <c r="F52" s="733"/>
      <c r="G52" s="733">
        <f>ROUND(SUM(C52:F52)/2,0)</f>
        <v>0</v>
      </c>
      <c r="H52" s="733"/>
      <c r="I52" s="733">
        <f t="shared" si="4"/>
        <v>0</v>
      </c>
      <c r="J52" s="733">
        <f t="shared" si="4"/>
        <v>0</v>
      </c>
      <c r="K52" s="733">
        <f t="shared" si="4"/>
        <v>0</v>
      </c>
      <c r="L52" s="733"/>
      <c r="M52" s="725"/>
      <c r="N52" s="725"/>
      <c r="O52" s="725"/>
      <c r="P52" s="733"/>
      <c r="Q52" s="725"/>
      <c r="R52" s="725"/>
      <c r="S52" s="725"/>
    </row>
    <row r="53" spans="1:19">
      <c r="A53" s="747">
        <f t="shared" si="5"/>
        <v>5.2599999999999945</v>
      </c>
      <c r="B53" s="725"/>
      <c r="C53" s="733">
        <f t="shared" si="8"/>
        <v>0</v>
      </c>
      <c r="D53" s="733">
        <f t="shared" si="9"/>
        <v>0</v>
      </c>
      <c r="E53" s="733"/>
      <c r="F53" s="733"/>
      <c r="G53" s="733">
        <f>ROUND(SUM(C53:F53)/2,0)</f>
        <v>0</v>
      </c>
      <c r="H53" s="733"/>
      <c r="I53" s="733">
        <f t="shared" si="4"/>
        <v>0</v>
      </c>
      <c r="J53" s="733">
        <f t="shared" si="4"/>
        <v>0</v>
      </c>
      <c r="K53" s="733">
        <f t="shared" si="4"/>
        <v>0</v>
      </c>
      <c r="L53" s="733"/>
      <c r="M53" s="725"/>
      <c r="N53" s="725"/>
      <c r="O53" s="725"/>
      <c r="P53" s="733"/>
      <c r="Q53" s="725"/>
      <c r="R53" s="725"/>
      <c r="S53" s="725"/>
    </row>
    <row r="54" spans="1:19">
      <c r="A54" s="747">
        <f t="shared" si="5"/>
        <v>5.2699999999999942</v>
      </c>
      <c r="B54" s="725"/>
      <c r="C54" s="733">
        <f t="shared" si="8"/>
        <v>0</v>
      </c>
      <c r="D54" s="733">
        <f t="shared" si="9"/>
        <v>0</v>
      </c>
      <c r="E54" s="733"/>
      <c r="F54" s="733"/>
      <c r="G54" s="733">
        <f>ROUND(SUM(C54:F54)/2,0)</f>
        <v>0</v>
      </c>
      <c r="H54" s="733"/>
      <c r="I54" s="733">
        <f t="shared" si="4"/>
        <v>0</v>
      </c>
      <c r="J54" s="733">
        <f t="shared" si="4"/>
        <v>0</v>
      </c>
      <c r="K54" s="733">
        <f t="shared" si="4"/>
        <v>0</v>
      </c>
      <c r="L54" s="733"/>
      <c r="M54" s="725"/>
      <c r="N54" s="725"/>
      <c r="O54" s="725"/>
      <c r="P54" s="733"/>
      <c r="Q54" s="725"/>
      <c r="R54" s="725"/>
      <c r="S54" s="725"/>
    </row>
    <row r="55" spans="1:19">
      <c r="A55" s="747">
        <f t="shared" si="5"/>
        <v>5.279999999999994</v>
      </c>
      <c r="B55" s="725"/>
      <c r="C55" s="733">
        <f t="shared" si="8"/>
        <v>0</v>
      </c>
      <c r="D55" s="733">
        <f t="shared" si="9"/>
        <v>0</v>
      </c>
      <c r="E55" s="733"/>
      <c r="F55" s="733"/>
      <c r="G55" s="733">
        <f>ROUND(SUM(C55:F55)/2,0)</f>
        <v>0</v>
      </c>
      <c r="H55" s="733"/>
      <c r="I55" s="733">
        <f t="shared" si="4"/>
        <v>0</v>
      </c>
      <c r="J55" s="733">
        <f t="shared" si="4"/>
        <v>0</v>
      </c>
      <c r="K55" s="733">
        <f t="shared" si="4"/>
        <v>0</v>
      </c>
      <c r="L55" s="733"/>
      <c r="M55" s="725"/>
      <c r="N55" s="725"/>
      <c r="O55" s="725"/>
      <c r="P55" s="733"/>
      <c r="Q55" s="725"/>
      <c r="R55" s="725"/>
      <c r="S55" s="725"/>
    </row>
    <row r="56" spans="1:19">
      <c r="A56" s="747">
        <f t="shared" si="5"/>
        <v>5.2899999999999938</v>
      </c>
      <c r="B56" s="725"/>
      <c r="C56" s="733">
        <f t="shared" si="1"/>
        <v>0</v>
      </c>
      <c r="D56" s="733">
        <f t="shared" si="2"/>
        <v>0</v>
      </c>
      <c r="E56" s="733"/>
      <c r="F56" s="733"/>
      <c r="G56" s="733">
        <f t="shared" ref="G56:G68" si="10">ROUND(SUM(C56:F56)/2,0)</f>
        <v>0</v>
      </c>
      <c r="H56" s="733"/>
      <c r="I56" s="733">
        <f t="shared" si="4"/>
        <v>0</v>
      </c>
      <c r="J56" s="733">
        <f t="shared" si="4"/>
        <v>0</v>
      </c>
      <c r="K56" s="733">
        <f t="shared" si="4"/>
        <v>0</v>
      </c>
      <c r="L56" s="733"/>
      <c r="M56" s="725"/>
      <c r="N56" s="725"/>
      <c r="O56" s="725"/>
      <c r="P56" s="733"/>
      <c r="Q56" s="725"/>
      <c r="R56" s="725"/>
      <c r="S56" s="725"/>
    </row>
    <row r="57" spans="1:19">
      <c r="A57" s="747">
        <f t="shared" si="5"/>
        <v>5.2999999999999936</v>
      </c>
      <c r="B57" s="725"/>
      <c r="C57" s="733">
        <f t="shared" si="1"/>
        <v>0</v>
      </c>
      <c r="D57" s="733">
        <f t="shared" si="2"/>
        <v>0</v>
      </c>
      <c r="E57" s="733"/>
      <c r="F57" s="733"/>
      <c r="G57" s="733">
        <f t="shared" si="10"/>
        <v>0</v>
      </c>
      <c r="H57" s="733"/>
      <c r="I57" s="733">
        <f t="shared" si="4"/>
        <v>0</v>
      </c>
      <c r="J57" s="733">
        <f t="shared" si="4"/>
        <v>0</v>
      </c>
      <c r="K57" s="733">
        <f t="shared" si="4"/>
        <v>0</v>
      </c>
      <c r="L57" s="733"/>
      <c r="M57" s="725"/>
      <c r="N57" s="725"/>
      <c r="O57" s="725"/>
      <c r="P57" s="733"/>
      <c r="Q57" s="725"/>
      <c r="R57" s="725"/>
      <c r="S57" s="725"/>
    </row>
    <row r="58" spans="1:19">
      <c r="A58" s="747">
        <f t="shared" si="5"/>
        <v>5.3099999999999934</v>
      </c>
      <c r="B58" s="725"/>
      <c r="C58" s="733">
        <f>SUM(M58:O58)</f>
        <v>0</v>
      </c>
      <c r="D58" s="733">
        <f>SUM(Q58:S58)</f>
        <v>0</v>
      </c>
      <c r="E58" s="733"/>
      <c r="F58" s="733"/>
      <c r="G58" s="733">
        <f>ROUND(SUM(C58:F58)/2,0)</f>
        <v>0</v>
      </c>
      <c r="H58" s="733"/>
      <c r="I58" s="733">
        <f t="shared" si="4"/>
        <v>0</v>
      </c>
      <c r="J58" s="733">
        <f t="shared" si="4"/>
        <v>0</v>
      </c>
      <c r="K58" s="733">
        <f t="shared" si="4"/>
        <v>0</v>
      </c>
      <c r="L58" s="733"/>
      <c r="M58" s="725"/>
      <c r="N58" s="725"/>
      <c r="O58" s="725"/>
      <c r="P58" s="733"/>
      <c r="Q58" s="725"/>
      <c r="R58" s="725"/>
      <c r="S58" s="725"/>
    </row>
    <row r="59" spans="1:19">
      <c r="A59" s="747">
        <f t="shared" si="5"/>
        <v>5.3199999999999932</v>
      </c>
      <c r="B59" s="725"/>
      <c r="C59" s="733">
        <f t="shared" si="1"/>
        <v>0</v>
      </c>
      <c r="D59" s="733">
        <f t="shared" si="2"/>
        <v>0</v>
      </c>
      <c r="E59" s="733"/>
      <c r="F59" s="733"/>
      <c r="G59" s="733">
        <f t="shared" si="10"/>
        <v>0</v>
      </c>
      <c r="H59" s="733"/>
      <c r="I59" s="733">
        <f t="shared" si="4"/>
        <v>0</v>
      </c>
      <c r="J59" s="733">
        <f t="shared" si="4"/>
        <v>0</v>
      </c>
      <c r="K59" s="733">
        <f t="shared" si="4"/>
        <v>0</v>
      </c>
      <c r="L59" s="733"/>
      <c r="M59" s="725"/>
      <c r="N59" s="725"/>
      <c r="O59" s="725"/>
      <c r="P59" s="733"/>
      <c r="Q59" s="725"/>
      <c r="R59" s="725"/>
      <c r="S59" s="725"/>
    </row>
    <row r="60" spans="1:19">
      <c r="A60" s="747">
        <f t="shared" si="5"/>
        <v>5.329999999999993</v>
      </c>
      <c r="B60" s="725"/>
      <c r="C60" s="733">
        <f t="shared" si="1"/>
        <v>0</v>
      </c>
      <c r="D60" s="733">
        <f t="shared" si="2"/>
        <v>0</v>
      </c>
      <c r="E60" s="733"/>
      <c r="F60" s="733"/>
      <c r="G60" s="733">
        <f t="shared" si="10"/>
        <v>0</v>
      </c>
      <c r="H60" s="733"/>
      <c r="I60" s="733">
        <f t="shared" si="4"/>
        <v>0</v>
      </c>
      <c r="J60" s="733">
        <f t="shared" si="4"/>
        <v>0</v>
      </c>
      <c r="K60" s="733">
        <f t="shared" si="4"/>
        <v>0</v>
      </c>
      <c r="L60" s="733"/>
      <c r="M60" s="725"/>
      <c r="N60" s="725"/>
      <c r="O60" s="725"/>
      <c r="P60" s="733"/>
      <c r="Q60" s="725"/>
      <c r="R60" s="725"/>
      <c r="S60" s="725"/>
    </row>
    <row r="61" spans="1:19">
      <c r="A61" s="747">
        <f t="shared" si="5"/>
        <v>5.3399999999999928</v>
      </c>
      <c r="B61" s="725"/>
      <c r="C61" s="737">
        <f>SUM(M61:O61)</f>
        <v>0</v>
      </c>
      <c r="D61" s="737">
        <f>SUM(Q61:S61)</f>
        <v>0</v>
      </c>
      <c r="E61" s="737"/>
      <c r="F61" s="737"/>
      <c r="G61" s="737">
        <f>ROUND(SUM(C61:F61)/2,0)</f>
        <v>0</v>
      </c>
      <c r="H61" s="737"/>
      <c r="I61" s="737">
        <f t="shared" si="4"/>
        <v>0</v>
      </c>
      <c r="J61" s="737">
        <f t="shared" si="4"/>
        <v>0</v>
      </c>
      <c r="K61" s="737">
        <f t="shared" si="4"/>
        <v>0</v>
      </c>
      <c r="L61" s="737"/>
      <c r="M61" s="725"/>
      <c r="N61" s="725"/>
      <c r="O61" s="725"/>
      <c r="P61" s="737"/>
      <c r="Q61" s="725"/>
      <c r="R61" s="725"/>
      <c r="S61" s="725"/>
    </row>
    <row r="62" spans="1:19">
      <c r="A62" s="747">
        <f t="shared" si="5"/>
        <v>5.3499999999999925</v>
      </c>
      <c r="B62" s="725"/>
      <c r="C62" s="737">
        <f t="shared" si="1"/>
        <v>0</v>
      </c>
      <c r="D62" s="737">
        <f t="shared" si="2"/>
        <v>0</v>
      </c>
      <c r="E62" s="737"/>
      <c r="F62" s="737"/>
      <c r="G62" s="737">
        <f t="shared" si="10"/>
        <v>0</v>
      </c>
      <c r="H62" s="737"/>
      <c r="I62" s="737">
        <f t="shared" si="4"/>
        <v>0</v>
      </c>
      <c r="J62" s="737">
        <f t="shared" si="4"/>
        <v>0</v>
      </c>
      <c r="K62" s="737">
        <f t="shared" si="4"/>
        <v>0</v>
      </c>
      <c r="L62" s="737"/>
      <c r="M62" s="725"/>
      <c r="N62" s="725"/>
      <c r="O62" s="725"/>
      <c r="P62" s="737"/>
      <c r="Q62" s="725"/>
      <c r="R62" s="725"/>
      <c r="S62" s="725"/>
    </row>
    <row r="63" spans="1:19">
      <c r="A63" s="747">
        <f t="shared" si="5"/>
        <v>5.3599999999999923</v>
      </c>
      <c r="B63" s="725"/>
      <c r="C63" s="733">
        <f t="shared" si="1"/>
        <v>0</v>
      </c>
      <c r="D63" s="733">
        <f t="shared" si="2"/>
        <v>0</v>
      </c>
      <c r="E63" s="733"/>
      <c r="F63" s="733"/>
      <c r="G63" s="733">
        <f t="shared" si="10"/>
        <v>0</v>
      </c>
      <c r="H63" s="733"/>
      <c r="I63" s="733">
        <f t="shared" si="4"/>
        <v>0</v>
      </c>
      <c r="J63" s="733">
        <f t="shared" si="4"/>
        <v>0</v>
      </c>
      <c r="K63" s="733">
        <f t="shared" si="4"/>
        <v>0</v>
      </c>
      <c r="L63" s="733"/>
      <c r="M63" s="725"/>
      <c r="N63" s="725"/>
      <c r="O63" s="725"/>
      <c r="P63" s="733"/>
      <c r="Q63" s="725"/>
      <c r="R63" s="725"/>
      <c r="S63" s="725"/>
    </row>
    <row r="64" spans="1:19">
      <c r="A64" s="747">
        <f t="shared" si="5"/>
        <v>5.3699999999999921</v>
      </c>
      <c r="B64" s="725"/>
      <c r="C64" s="733">
        <f t="shared" si="1"/>
        <v>0</v>
      </c>
      <c r="D64" s="733">
        <f t="shared" si="2"/>
        <v>0</v>
      </c>
      <c r="E64" s="733"/>
      <c r="F64" s="733"/>
      <c r="G64" s="733">
        <f t="shared" si="10"/>
        <v>0</v>
      </c>
      <c r="H64" s="733"/>
      <c r="I64" s="733">
        <f t="shared" si="4"/>
        <v>0</v>
      </c>
      <c r="J64" s="733">
        <f t="shared" si="4"/>
        <v>0</v>
      </c>
      <c r="K64" s="733">
        <f t="shared" si="4"/>
        <v>0</v>
      </c>
      <c r="L64" s="733"/>
      <c r="M64" s="725"/>
      <c r="N64" s="725"/>
      <c r="O64" s="725"/>
      <c r="P64" s="733"/>
      <c r="Q64" s="725"/>
      <c r="R64" s="725"/>
      <c r="S64" s="725"/>
    </row>
    <row r="65" spans="1:19">
      <c r="A65" s="747">
        <f t="shared" si="5"/>
        <v>5.3799999999999919</v>
      </c>
      <c r="B65" s="725"/>
      <c r="C65" s="733">
        <f>SUM(M65:O65)</f>
        <v>0</v>
      </c>
      <c r="D65" s="733">
        <f>SUM(Q65:S65)</f>
        <v>0</v>
      </c>
      <c r="E65" s="733"/>
      <c r="F65" s="733"/>
      <c r="G65" s="733">
        <f>ROUND(SUM(C65:F65)/2,0)</f>
        <v>0</v>
      </c>
      <c r="H65" s="733"/>
      <c r="I65" s="733">
        <f t="shared" si="4"/>
        <v>0</v>
      </c>
      <c r="J65" s="733">
        <f t="shared" si="4"/>
        <v>0</v>
      </c>
      <c r="K65" s="733">
        <f t="shared" si="4"/>
        <v>0</v>
      </c>
      <c r="L65" s="733"/>
      <c r="M65" s="725"/>
      <c r="N65" s="725"/>
      <c r="O65" s="725"/>
      <c r="P65" s="733"/>
      <c r="Q65" s="725"/>
      <c r="R65" s="725"/>
      <c r="S65" s="725"/>
    </row>
    <row r="66" spans="1:19">
      <c r="A66" s="747">
        <f t="shared" si="5"/>
        <v>5.3899999999999917</v>
      </c>
      <c r="B66" s="725"/>
      <c r="C66" s="725"/>
      <c r="D66" s="725"/>
      <c r="E66" s="733">
        <f t="shared" ref="E66:F68" si="11">-C66</f>
        <v>0</v>
      </c>
      <c r="F66" s="733">
        <f t="shared" si="11"/>
        <v>0</v>
      </c>
      <c r="G66" s="733">
        <f t="shared" si="10"/>
        <v>0</v>
      </c>
      <c r="H66" s="733"/>
      <c r="I66" s="733"/>
      <c r="J66" s="733"/>
      <c r="K66" s="733"/>
      <c r="L66" s="733"/>
      <c r="M66" s="733"/>
      <c r="N66" s="733"/>
      <c r="O66" s="733"/>
      <c r="P66" s="733"/>
      <c r="Q66" s="733"/>
      <c r="R66" s="733"/>
      <c r="S66" s="733"/>
    </row>
    <row r="67" spans="1:19">
      <c r="A67" s="747">
        <f t="shared" si="5"/>
        <v>5.3999999999999915</v>
      </c>
      <c r="B67" s="725"/>
      <c r="C67" s="725"/>
      <c r="D67" s="725"/>
      <c r="E67" s="733">
        <f t="shared" si="11"/>
        <v>0</v>
      </c>
      <c r="F67" s="733">
        <f t="shared" si="11"/>
        <v>0</v>
      </c>
      <c r="G67" s="733">
        <f t="shared" si="10"/>
        <v>0</v>
      </c>
      <c r="H67" s="733"/>
      <c r="I67" s="733"/>
      <c r="J67" s="733"/>
      <c r="K67" s="733"/>
      <c r="L67" s="733"/>
      <c r="M67" s="733"/>
      <c r="N67" s="733"/>
      <c r="O67" s="733"/>
      <c r="P67" s="733"/>
      <c r="Q67" s="733"/>
      <c r="R67" s="733"/>
      <c r="S67" s="733"/>
    </row>
    <row r="68" spans="1:19">
      <c r="A68" s="747">
        <f t="shared" si="5"/>
        <v>5.4099999999999913</v>
      </c>
      <c r="B68" s="725"/>
      <c r="C68" s="725"/>
      <c r="D68" s="725"/>
      <c r="E68" s="733">
        <f t="shared" si="11"/>
        <v>0</v>
      </c>
      <c r="F68" s="733">
        <f t="shared" si="11"/>
        <v>0</v>
      </c>
      <c r="G68" s="733">
        <f t="shared" si="10"/>
        <v>0</v>
      </c>
      <c r="H68" s="733"/>
      <c r="I68" s="733"/>
      <c r="J68" s="733"/>
      <c r="K68" s="733"/>
      <c r="L68" s="733"/>
      <c r="M68" s="733"/>
      <c r="N68" s="733"/>
      <c r="O68" s="733"/>
      <c r="P68" s="733"/>
      <c r="Q68" s="733"/>
      <c r="R68" s="733"/>
      <c r="S68" s="733"/>
    </row>
    <row r="69" spans="1:19">
      <c r="A69" s="723"/>
    </row>
    <row r="70" spans="1:19">
      <c r="A70" s="740"/>
      <c r="B70" s="727"/>
      <c r="C70" s="733"/>
      <c r="D70" s="733"/>
      <c r="E70" s="733"/>
      <c r="F70" s="733"/>
      <c r="G70" s="733"/>
      <c r="H70" s="733"/>
      <c r="I70" s="733"/>
      <c r="J70" s="733"/>
      <c r="K70" s="733"/>
      <c r="L70" s="733"/>
      <c r="M70" s="733"/>
      <c r="N70" s="733"/>
      <c r="O70" s="733"/>
      <c r="P70" s="733"/>
      <c r="Q70" s="733"/>
      <c r="R70" s="733"/>
      <c r="S70" s="733"/>
    </row>
    <row r="71" spans="1:19" ht="13.5" thickBot="1">
      <c r="A71" s="740">
        <v>6</v>
      </c>
      <c r="B71" s="723" t="s">
        <v>676</v>
      </c>
      <c r="C71" s="735">
        <f>SUM(C28:C70)</f>
        <v>0</v>
      </c>
      <c r="D71" s="735">
        <f>SUM(D28:D70)</f>
        <v>0</v>
      </c>
      <c r="E71" s="735">
        <f>SUM(E28:E70)</f>
        <v>0</v>
      </c>
      <c r="F71" s="735">
        <f>SUM(F28:F70)</f>
        <v>0</v>
      </c>
      <c r="G71" s="735">
        <f>SUM(G28:G70)</f>
        <v>0</v>
      </c>
      <c r="H71" s="733"/>
      <c r="I71" s="735">
        <f>SUM(I28:I70)</f>
        <v>0</v>
      </c>
      <c r="J71" s="735">
        <f>SUM(J28:J70)</f>
        <v>0</v>
      </c>
      <c r="K71" s="735">
        <f>SUM(K28:K70)</f>
        <v>0</v>
      </c>
      <c r="L71" s="733"/>
      <c r="M71" s="735">
        <f>SUM(M28:M70)</f>
        <v>0</v>
      </c>
      <c r="N71" s="735">
        <f>SUM(N28:N70)</f>
        <v>0</v>
      </c>
      <c r="O71" s="735">
        <f>SUM(O28:O70)</f>
        <v>0</v>
      </c>
      <c r="P71" s="733"/>
      <c r="Q71" s="735">
        <f>SUM(Q28:Q70)</f>
        <v>0</v>
      </c>
      <c r="R71" s="735">
        <f>SUM(R28:R70)</f>
        <v>0</v>
      </c>
      <c r="S71" s="735">
        <f>SUM(S28:S70)</f>
        <v>0</v>
      </c>
    </row>
    <row r="72" spans="1:19" ht="13.5" thickTop="1">
      <c r="A72" s="740">
        <f>A71+1</f>
        <v>7</v>
      </c>
      <c r="B72" s="727" t="s">
        <v>677</v>
      </c>
      <c r="C72" s="736">
        <f>SUM(C34,C35,C61,C62)</f>
        <v>0</v>
      </c>
      <c r="D72" s="736">
        <f>SUM(D34,D35,D61,D62)</f>
        <v>0</v>
      </c>
      <c r="E72" s="736">
        <f>SUM(E34,E35,E61,E62)</f>
        <v>0</v>
      </c>
      <c r="F72" s="736">
        <f>SUM(F34,F35,F61,F62)</f>
        <v>0</v>
      </c>
      <c r="G72" s="736">
        <f>SUM(G34,G35,G61,G62)</f>
        <v>0</v>
      </c>
      <c r="H72" s="733"/>
      <c r="I72" s="736">
        <f>SUM(I34,I35,I61,I62)</f>
        <v>0</v>
      </c>
      <c r="J72" s="736">
        <f>SUM(J34,J35,J61,J62)</f>
        <v>0</v>
      </c>
      <c r="K72" s="736">
        <f>SUM(K34,K35,K61,K62)</f>
        <v>0</v>
      </c>
      <c r="L72" s="736"/>
      <c r="M72" s="736">
        <f>SUM(M34,M35,M61,M62)</f>
        <v>0</v>
      </c>
      <c r="N72" s="736">
        <f>SUM(N34,N35,N61,N62)</f>
        <v>0</v>
      </c>
      <c r="O72" s="736">
        <f>SUM(O34,O35,O61,O62)</f>
        <v>0</v>
      </c>
      <c r="P72" s="733"/>
      <c r="Q72" s="736">
        <f>SUM(Q34,Q35,Q61,Q62)</f>
        <v>0</v>
      </c>
      <c r="R72" s="736">
        <f>SUM(R34,R35,R61,R62)</f>
        <v>0</v>
      </c>
      <c r="S72" s="736">
        <f>SUM(S34,S35,S61,S62)</f>
        <v>0</v>
      </c>
    </row>
    <row r="73" spans="1:19">
      <c r="A73" s="740"/>
      <c r="C73" s="733"/>
      <c r="D73" s="733"/>
      <c r="E73" s="733"/>
      <c r="F73" s="733"/>
      <c r="G73" s="733"/>
      <c r="H73" s="733"/>
      <c r="I73" s="733"/>
      <c r="J73" s="733"/>
      <c r="K73" s="733"/>
      <c r="L73" s="733"/>
      <c r="M73" s="733"/>
      <c r="N73" s="733"/>
      <c r="O73" s="733"/>
      <c r="P73" s="733"/>
      <c r="Q73" s="733"/>
      <c r="R73" s="733"/>
      <c r="S73" s="733"/>
    </row>
    <row r="74" spans="1:19">
      <c r="A74" s="740">
        <v>8</v>
      </c>
      <c r="B74" s="723" t="s">
        <v>678</v>
      </c>
      <c r="C74" s="733" t="s">
        <v>414</v>
      </c>
      <c r="D74" s="733"/>
      <c r="E74" s="733"/>
      <c r="F74" s="733"/>
      <c r="G74" s="733"/>
      <c r="H74" s="733"/>
      <c r="I74" s="733"/>
      <c r="J74" s="733"/>
      <c r="K74" s="733"/>
      <c r="L74" s="733"/>
      <c r="M74" s="733"/>
      <c r="N74" s="733"/>
      <c r="O74" s="733"/>
      <c r="P74" s="733"/>
      <c r="Q74" s="733"/>
      <c r="R74" s="733"/>
      <c r="S74" s="733"/>
    </row>
    <row r="75" spans="1:19">
      <c r="A75" s="740"/>
      <c r="B75" s="727"/>
      <c r="C75" s="733"/>
      <c r="D75" s="733"/>
      <c r="E75" s="733"/>
      <c r="F75" s="733"/>
      <c r="G75" s="733"/>
      <c r="H75" s="733"/>
      <c r="I75" s="733"/>
      <c r="J75" s="733"/>
      <c r="K75" s="733"/>
      <c r="L75" s="733"/>
      <c r="M75" s="733"/>
      <c r="N75" s="733"/>
      <c r="O75" s="733"/>
      <c r="P75" s="733"/>
      <c r="Q75" s="733"/>
      <c r="R75" s="733"/>
      <c r="S75" s="733"/>
    </row>
    <row r="76" spans="1:19">
      <c r="A76" s="747">
        <v>9.01</v>
      </c>
      <c r="B76" s="725"/>
      <c r="C76" s="733">
        <f>SUM(M76:O76)</f>
        <v>0</v>
      </c>
      <c r="D76" s="733">
        <f t="shared" ref="D76:D139" si="12">SUM(Q76:S76)</f>
        <v>0</v>
      </c>
      <c r="E76" s="733"/>
      <c r="F76" s="733"/>
      <c r="G76" s="733">
        <f t="shared" ref="G76:G130" si="13">ROUND(SUM(C76:F76)/2,0)</f>
        <v>0</v>
      </c>
      <c r="H76" s="733"/>
      <c r="I76" s="733">
        <f>(M76+Q76)/2</f>
        <v>0</v>
      </c>
      <c r="J76" s="733">
        <f>(N76+R76)/2</f>
        <v>0</v>
      </c>
      <c r="K76" s="733">
        <f>(O76+S76)/2</f>
        <v>0</v>
      </c>
      <c r="L76" s="733"/>
      <c r="M76" s="725"/>
      <c r="N76" s="725"/>
      <c r="O76" s="725"/>
      <c r="P76" s="733"/>
      <c r="Q76" s="725"/>
      <c r="R76" s="725"/>
      <c r="S76" s="725"/>
    </row>
    <row r="77" spans="1:19">
      <c r="A77" s="747">
        <f>A76+0.01</f>
        <v>9.02</v>
      </c>
      <c r="B77" s="725"/>
      <c r="C77" s="733">
        <f t="shared" ref="C77:C140" si="14">SUM(M77:O77)</f>
        <v>0</v>
      </c>
      <c r="D77" s="733">
        <f t="shared" si="12"/>
        <v>0</v>
      </c>
      <c r="E77" s="733"/>
      <c r="F77" s="733"/>
      <c r="G77" s="733">
        <f>ROUND(SUM(C77:F77)/2,0)</f>
        <v>0</v>
      </c>
      <c r="H77" s="733"/>
      <c r="I77" s="733">
        <f t="shared" ref="I77:K136" si="15">(M77+Q77)/2</f>
        <v>0</v>
      </c>
      <c r="J77" s="733">
        <f t="shared" si="15"/>
        <v>0</v>
      </c>
      <c r="K77" s="733">
        <f t="shared" si="15"/>
        <v>0</v>
      </c>
      <c r="L77" s="733"/>
      <c r="M77" s="725"/>
      <c r="N77" s="725"/>
      <c r="O77" s="725"/>
      <c r="P77" s="733"/>
      <c r="Q77" s="725"/>
      <c r="R77" s="725"/>
      <c r="S77" s="725"/>
    </row>
    <row r="78" spans="1:19">
      <c r="A78" s="747">
        <f t="shared" ref="A78:A141" si="16">A77+0.01</f>
        <v>9.0299999999999994</v>
      </c>
      <c r="B78" s="725"/>
      <c r="C78" s="733">
        <f t="shared" si="14"/>
        <v>0</v>
      </c>
      <c r="D78" s="733">
        <f t="shared" si="12"/>
        <v>0</v>
      </c>
      <c r="E78" s="733"/>
      <c r="F78" s="733"/>
      <c r="G78" s="733">
        <f t="shared" si="13"/>
        <v>0</v>
      </c>
      <c r="H78" s="733"/>
      <c r="I78" s="733">
        <f t="shared" si="15"/>
        <v>0</v>
      </c>
      <c r="J78" s="733">
        <f t="shared" si="15"/>
        <v>0</v>
      </c>
      <c r="K78" s="733">
        <f t="shared" si="15"/>
        <v>0</v>
      </c>
      <c r="L78" s="733"/>
      <c r="M78" s="725"/>
      <c r="N78" s="725"/>
      <c r="O78" s="725"/>
      <c r="P78" s="733"/>
      <c r="Q78" s="725"/>
      <c r="R78" s="725"/>
      <c r="S78" s="725"/>
    </row>
    <row r="79" spans="1:19">
      <c r="A79" s="747">
        <f t="shared" si="16"/>
        <v>9.0399999999999991</v>
      </c>
      <c r="B79" s="725"/>
      <c r="C79" s="733">
        <f t="shared" si="14"/>
        <v>0</v>
      </c>
      <c r="D79" s="733">
        <f t="shared" si="12"/>
        <v>0</v>
      </c>
      <c r="E79" s="733"/>
      <c r="F79" s="733"/>
      <c r="G79" s="733">
        <f t="shared" si="13"/>
        <v>0</v>
      </c>
      <c r="H79" s="733"/>
      <c r="I79" s="733">
        <f t="shared" si="15"/>
        <v>0</v>
      </c>
      <c r="J79" s="733">
        <f t="shared" si="15"/>
        <v>0</v>
      </c>
      <c r="K79" s="733">
        <f t="shared" si="15"/>
        <v>0</v>
      </c>
      <c r="L79" s="733"/>
      <c r="M79" s="725"/>
      <c r="N79" s="725"/>
      <c r="O79" s="725"/>
      <c r="P79" s="733"/>
      <c r="Q79" s="725"/>
      <c r="R79" s="725"/>
      <c r="S79" s="725"/>
    </row>
    <row r="80" spans="1:19">
      <c r="A80" s="747">
        <f t="shared" si="16"/>
        <v>9.0499999999999989</v>
      </c>
      <c r="B80" s="725"/>
      <c r="C80" s="733">
        <f t="shared" si="14"/>
        <v>0</v>
      </c>
      <c r="D80" s="733">
        <f t="shared" si="12"/>
        <v>0</v>
      </c>
      <c r="E80" s="733"/>
      <c r="F80" s="733"/>
      <c r="G80" s="733">
        <f t="shared" si="13"/>
        <v>0</v>
      </c>
      <c r="H80" s="733"/>
      <c r="I80" s="733">
        <f t="shared" si="15"/>
        <v>0</v>
      </c>
      <c r="J80" s="733">
        <f t="shared" si="15"/>
        <v>0</v>
      </c>
      <c r="K80" s="733">
        <f t="shared" si="15"/>
        <v>0</v>
      </c>
      <c r="L80" s="733"/>
      <c r="M80" s="725"/>
      <c r="N80" s="725"/>
      <c r="O80" s="725"/>
      <c r="P80" s="733"/>
      <c r="Q80" s="725"/>
      <c r="R80" s="725"/>
      <c r="S80" s="725"/>
    </row>
    <row r="81" spans="1:19">
      <c r="A81" s="747">
        <f t="shared" si="16"/>
        <v>9.0599999999999987</v>
      </c>
      <c r="B81" s="725"/>
      <c r="C81" s="733">
        <f t="shared" si="14"/>
        <v>0</v>
      </c>
      <c r="D81" s="733">
        <f t="shared" si="12"/>
        <v>0</v>
      </c>
      <c r="E81" s="733"/>
      <c r="F81" s="733"/>
      <c r="G81" s="733">
        <f t="shared" si="13"/>
        <v>0</v>
      </c>
      <c r="H81" s="733"/>
      <c r="I81" s="733">
        <f t="shared" si="15"/>
        <v>0</v>
      </c>
      <c r="J81" s="733">
        <f t="shared" si="15"/>
        <v>0</v>
      </c>
      <c r="K81" s="733">
        <f t="shared" si="15"/>
        <v>0</v>
      </c>
      <c r="L81" s="733"/>
      <c r="M81" s="725"/>
      <c r="N81" s="725"/>
      <c r="O81" s="725"/>
      <c r="P81" s="733"/>
      <c r="Q81" s="725"/>
      <c r="R81" s="725"/>
      <c r="S81" s="725"/>
    </row>
    <row r="82" spans="1:19">
      <c r="A82" s="747">
        <f t="shared" si="16"/>
        <v>9.0699999999999985</v>
      </c>
      <c r="B82" s="725"/>
      <c r="C82" s="733">
        <f t="shared" si="14"/>
        <v>0</v>
      </c>
      <c r="D82" s="733">
        <f t="shared" si="12"/>
        <v>0</v>
      </c>
      <c r="E82" s="733"/>
      <c r="F82" s="733"/>
      <c r="G82" s="733">
        <f>ROUND(SUM(C82:F82)/2,0)</f>
        <v>0</v>
      </c>
      <c r="H82" s="733"/>
      <c r="I82" s="733">
        <f t="shared" si="15"/>
        <v>0</v>
      </c>
      <c r="J82" s="733">
        <f t="shared" si="15"/>
        <v>0</v>
      </c>
      <c r="K82" s="733">
        <f t="shared" si="15"/>
        <v>0</v>
      </c>
      <c r="L82" s="733"/>
      <c r="M82" s="725"/>
      <c r="N82" s="725"/>
      <c r="O82" s="725"/>
      <c r="P82" s="733"/>
      <c r="Q82" s="725"/>
      <c r="R82" s="725"/>
      <c r="S82" s="725"/>
    </row>
    <row r="83" spans="1:19">
      <c r="A83" s="747">
        <f t="shared" si="16"/>
        <v>9.0799999999999983</v>
      </c>
      <c r="B83" s="725"/>
      <c r="C83" s="733">
        <f t="shared" si="14"/>
        <v>0</v>
      </c>
      <c r="D83" s="733">
        <f t="shared" si="12"/>
        <v>0</v>
      </c>
      <c r="E83" s="733"/>
      <c r="F83" s="733"/>
      <c r="G83" s="733">
        <f>ROUND(SUM(C83:F83)/2,0)</f>
        <v>0</v>
      </c>
      <c r="H83" s="733"/>
      <c r="I83" s="733">
        <f t="shared" si="15"/>
        <v>0</v>
      </c>
      <c r="J83" s="733">
        <f t="shared" si="15"/>
        <v>0</v>
      </c>
      <c r="K83" s="733">
        <f t="shared" si="15"/>
        <v>0</v>
      </c>
      <c r="L83" s="733"/>
      <c r="M83" s="725"/>
      <c r="N83" s="725"/>
      <c r="O83" s="725"/>
      <c r="P83" s="733"/>
      <c r="Q83" s="725"/>
      <c r="R83" s="725"/>
      <c r="S83" s="725"/>
    </row>
    <row r="84" spans="1:19" hidden="1">
      <c r="A84" s="747">
        <f t="shared" si="16"/>
        <v>9.0899999999999981</v>
      </c>
      <c r="B84" s="725"/>
      <c r="C84" s="733">
        <f t="shared" si="14"/>
        <v>0</v>
      </c>
      <c r="D84" s="733">
        <f t="shared" si="12"/>
        <v>0</v>
      </c>
      <c r="E84" s="733"/>
      <c r="F84" s="733"/>
      <c r="G84" s="733">
        <f t="shared" si="13"/>
        <v>0</v>
      </c>
      <c r="H84" s="733"/>
      <c r="I84" s="733">
        <f t="shared" si="15"/>
        <v>0</v>
      </c>
      <c r="J84" s="733">
        <f t="shared" si="15"/>
        <v>0</v>
      </c>
      <c r="K84" s="733">
        <f t="shared" si="15"/>
        <v>0</v>
      </c>
      <c r="L84" s="733"/>
      <c r="M84" s="725"/>
      <c r="N84" s="725"/>
      <c r="O84" s="725"/>
      <c r="P84" s="733"/>
      <c r="Q84" s="725"/>
      <c r="R84" s="725"/>
      <c r="S84" s="725"/>
    </row>
    <row r="85" spans="1:19" hidden="1">
      <c r="A85" s="747">
        <f t="shared" si="16"/>
        <v>9.0999999999999979</v>
      </c>
      <c r="B85" s="725"/>
      <c r="C85" s="733">
        <f t="shared" si="14"/>
        <v>0</v>
      </c>
      <c r="D85" s="733">
        <f t="shared" si="12"/>
        <v>0</v>
      </c>
      <c r="E85" s="733"/>
      <c r="F85" s="733"/>
      <c r="G85" s="733">
        <f>ROUND(SUM(C85:F85)/2,0)</f>
        <v>0</v>
      </c>
      <c r="H85" s="733"/>
      <c r="I85" s="733">
        <f t="shared" si="15"/>
        <v>0</v>
      </c>
      <c r="J85" s="733">
        <f t="shared" si="15"/>
        <v>0</v>
      </c>
      <c r="K85" s="733">
        <f t="shared" si="15"/>
        <v>0</v>
      </c>
      <c r="L85" s="733"/>
      <c r="M85" s="725"/>
      <c r="N85" s="725"/>
      <c r="O85" s="725"/>
      <c r="P85" s="733"/>
      <c r="Q85" s="725"/>
      <c r="R85" s="725"/>
      <c r="S85" s="725"/>
    </row>
    <row r="86" spans="1:19" hidden="1">
      <c r="A86" s="747">
        <f t="shared" si="16"/>
        <v>9.1099999999999977</v>
      </c>
      <c r="B86" s="725"/>
      <c r="C86" s="733">
        <f t="shared" si="14"/>
        <v>0</v>
      </c>
      <c r="D86" s="733">
        <f t="shared" si="12"/>
        <v>0</v>
      </c>
      <c r="E86" s="733"/>
      <c r="F86" s="733"/>
      <c r="G86" s="733">
        <f>ROUND(SUM(C86:F86)/2,0)</f>
        <v>0</v>
      </c>
      <c r="H86" s="733"/>
      <c r="I86" s="733">
        <f t="shared" si="15"/>
        <v>0</v>
      </c>
      <c r="J86" s="733">
        <f t="shared" si="15"/>
        <v>0</v>
      </c>
      <c r="K86" s="733">
        <f t="shared" si="15"/>
        <v>0</v>
      </c>
      <c r="L86" s="733"/>
      <c r="M86" s="725"/>
      <c r="N86" s="725"/>
      <c r="O86" s="725"/>
      <c r="P86" s="733"/>
      <c r="Q86" s="725"/>
      <c r="R86" s="725"/>
      <c r="S86" s="725"/>
    </row>
    <row r="87" spans="1:19" hidden="1">
      <c r="A87" s="747">
        <f t="shared" si="16"/>
        <v>9.1199999999999974</v>
      </c>
      <c r="B87" s="725"/>
      <c r="C87" s="733">
        <f t="shared" si="14"/>
        <v>0</v>
      </c>
      <c r="D87" s="733">
        <f t="shared" si="12"/>
        <v>0</v>
      </c>
      <c r="E87" s="733"/>
      <c r="F87" s="733"/>
      <c r="G87" s="733">
        <f t="shared" si="13"/>
        <v>0</v>
      </c>
      <c r="H87" s="733"/>
      <c r="I87" s="733">
        <f t="shared" si="15"/>
        <v>0</v>
      </c>
      <c r="J87" s="733">
        <f t="shared" si="15"/>
        <v>0</v>
      </c>
      <c r="K87" s="733">
        <f t="shared" si="15"/>
        <v>0</v>
      </c>
      <c r="L87" s="733"/>
      <c r="M87" s="725"/>
      <c r="N87" s="725"/>
      <c r="O87" s="725"/>
      <c r="P87" s="733"/>
      <c r="Q87" s="725"/>
      <c r="R87" s="725"/>
      <c r="S87" s="725"/>
    </row>
    <row r="88" spans="1:19" hidden="1">
      <c r="A88" s="747">
        <f t="shared" si="16"/>
        <v>9.1299999999999972</v>
      </c>
      <c r="B88" s="725"/>
      <c r="C88" s="733">
        <f t="shared" si="14"/>
        <v>0</v>
      </c>
      <c r="D88" s="733">
        <f t="shared" si="12"/>
        <v>0</v>
      </c>
      <c r="E88" s="733"/>
      <c r="F88" s="733"/>
      <c r="G88" s="733">
        <f t="shared" si="13"/>
        <v>0</v>
      </c>
      <c r="H88" s="733"/>
      <c r="I88" s="733">
        <f t="shared" si="15"/>
        <v>0</v>
      </c>
      <c r="J88" s="733">
        <f t="shared" si="15"/>
        <v>0</v>
      </c>
      <c r="K88" s="733">
        <f t="shared" si="15"/>
        <v>0</v>
      </c>
      <c r="L88" s="733"/>
      <c r="M88" s="725"/>
      <c r="N88" s="725"/>
      <c r="O88" s="725"/>
      <c r="P88" s="733"/>
      <c r="Q88" s="725"/>
      <c r="R88" s="725"/>
      <c r="S88" s="725"/>
    </row>
    <row r="89" spans="1:19" hidden="1">
      <c r="A89" s="747">
        <f t="shared" si="16"/>
        <v>9.139999999999997</v>
      </c>
      <c r="B89" s="725"/>
      <c r="C89" s="733">
        <f t="shared" si="14"/>
        <v>0</v>
      </c>
      <c r="D89" s="733">
        <f t="shared" si="12"/>
        <v>0</v>
      </c>
      <c r="E89" s="733"/>
      <c r="F89" s="733"/>
      <c r="G89" s="733">
        <f t="shared" si="13"/>
        <v>0</v>
      </c>
      <c r="H89" s="733"/>
      <c r="I89" s="733">
        <f t="shared" si="15"/>
        <v>0</v>
      </c>
      <c r="J89" s="733">
        <f t="shared" si="15"/>
        <v>0</v>
      </c>
      <c r="K89" s="733">
        <f t="shared" si="15"/>
        <v>0</v>
      </c>
      <c r="L89" s="733"/>
      <c r="M89" s="725"/>
      <c r="N89" s="725"/>
      <c r="O89" s="725"/>
      <c r="P89" s="733"/>
      <c r="Q89" s="725"/>
      <c r="R89" s="725"/>
      <c r="S89" s="725"/>
    </row>
    <row r="90" spans="1:19" hidden="1">
      <c r="A90" s="747">
        <f t="shared" si="16"/>
        <v>9.1499999999999968</v>
      </c>
      <c r="B90" s="725"/>
      <c r="C90" s="733">
        <f t="shared" si="14"/>
        <v>0</v>
      </c>
      <c r="D90" s="733">
        <f t="shared" si="12"/>
        <v>0</v>
      </c>
      <c r="E90" s="733"/>
      <c r="F90" s="733"/>
      <c r="G90" s="733">
        <f t="shared" si="13"/>
        <v>0</v>
      </c>
      <c r="H90" s="733"/>
      <c r="I90" s="733">
        <f t="shared" si="15"/>
        <v>0</v>
      </c>
      <c r="J90" s="733">
        <f t="shared" si="15"/>
        <v>0</v>
      </c>
      <c r="K90" s="733">
        <f t="shared" si="15"/>
        <v>0</v>
      </c>
      <c r="L90" s="733"/>
      <c r="M90" s="725"/>
      <c r="N90" s="725"/>
      <c r="O90" s="725"/>
      <c r="P90" s="733"/>
      <c r="Q90" s="725"/>
      <c r="R90" s="725"/>
      <c r="S90" s="725"/>
    </row>
    <row r="91" spans="1:19" hidden="1">
      <c r="A91" s="747">
        <f t="shared" si="16"/>
        <v>9.1599999999999966</v>
      </c>
      <c r="B91" s="725"/>
      <c r="C91" s="733">
        <f t="shared" si="14"/>
        <v>0</v>
      </c>
      <c r="D91" s="733">
        <f t="shared" si="12"/>
        <v>0</v>
      </c>
      <c r="E91" s="733"/>
      <c r="F91" s="733"/>
      <c r="G91" s="733">
        <f t="shared" si="13"/>
        <v>0</v>
      </c>
      <c r="H91" s="733"/>
      <c r="I91" s="733">
        <f t="shared" si="15"/>
        <v>0</v>
      </c>
      <c r="J91" s="733">
        <f t="shared" si="15"/>
        <v>0</v>
      </c>
      <c r="K91" s="733">
        <f t="shared" si="15"/>
        <v>0</v>
      </c>
      <c r="L91" s="733"/>
      <c r="M91" s="725"/>
      <c r="N91" s="725"/>
      <c r="O91" s="725"/>
      <c r="P91" s="733"/>
      <c r="Q91" s="725"/>
      <c r="R91" s="725"/>
      <c r="S91" s="725"/>
    </row>
    <row r="92" spans="1:19" hidden="1">
      <c r="A92" s="747">
        <f t="shared" si="16"/>
        <v>9.1699999999999964</v>
      </c>
      <c r="B92" s="725"/>
      <c r="C92" s="733">
        <f t="shared" si="14"/>
        <v>0</v>
      </c>
      <c r="D92" s="733">
        <f t="shared" si="12"/>
        <v>0</v>
      </c>
      <c r="E92" s="733"/>
      <c r="F92" s="733"/>
      <c r="G92" s="733">
        <f t="shared" si="13"/>
        <v>0</v>
      </c>
      <c r="H92" s="733"/>
      <c r="I92" s="733">
        <f t="shared" si="15"/>
        <v>0</v>
      </c>
      <c r="J92" s="733">
        <f t="shared" si="15"/>
        <v>0</v>
      </c>
      <c r="K92" s="733">
        <f t="shared" si="15"/>
        <v>0</v>
      </c>
      <c r="L92" s="733"/>
      <c r="M92" s="725"/>
      <c r="N92" s="725"/>
      <c r="O92" s="725"/>
      <c r="P92" s="733"/>
      <c r="Q92" s="725"/>
      <c r="R92" s="725"/>
      <c r="S92" s="725"/>
    </row>
    <row r="93" spans="1:19" hidden="1">
      <c r="A93" s="747">
        <f t="shared" si="16"/>
        <v>9.1799999999999962</v>
      </c>
      <c r="B93" s="725"/>
      <c r="C93" s="733">
        <f t="shared" si="14"/>
        <v>0</v>
      </c>
      <c r="D93" s="733">
        <f t="shared" si="12"/>
        <v>0</v>
      </c>
      <c r="E93" s="733"/>
      <c r="F93" s="733"/>
      <c r="G93" s="733">
        <f t="shared" si="13"/>
        <v>0</v>
      </c>
      <c r="H93" s="733"/>
      <c r="I93" s="733">
        <f t="shared" si="15"/>
        <v>0</v>
      </c>
      <c r="J93" s="733">
        <f t="shared" si="15"/>
        <v>0</v>
      </c>
      <c r="K93" s="733">
        <f t="shared" si="15"/>
        <v>0</v>
      </c>
      <c r="L93" s="733"/>
      <c r="M93" s="725"/>
      <c r="N93" s="725"/>
      <c r="O93" s="725"/>
      <c r="P93" s="733"/>
      <c r="Q93" s="725"/>
      <c r="R93" s="725"/>
      <c r="S93" s="725"/>
    </row>
    <row r="94" spans="1:19" hidden="1">
      <c r="A94" s="747">
        <f t="shared" si="16"/>
        <v>9.1899999999999959</v>
      </c>
      <c r="B94" s="725"/>
      <c r="C94" s="733">
        <f t="shared" si="14"/>
        <v>0</v>
      </c>
      <c r="D94" s="733">
        <f t="shared" si="12"/>
        <v>0</v>
      </c>
      <c r="E94" s="733"/>
      <c r="F94" s="733"/>
      <c r="G94" s="733">
        <f t="shared" si="13"/>
        <v>0</v>
      </c>
      <c r="H94" s="733"/>
      <c r="I94" s="733">
        <f t="shared" si="15"/>
        <v>0</v>
      </c>
      <c r="J94" s="733">
        <f t="shared" si="15"/>
        <v>0</v>
      </c>
      <c r="K94" s="733">
        <f t="shared" si="15"/>
        <v>0</v>
      </c>
      <c r="L94" s="733"/>
      <c r="M94" s="725"/>
      <c r="N94" s="725"/>
      <c r="O94" s="725"/>
      <c r="P94" s="733"/>
      <c r="Q94" s="725"/>
      <c r="R94" s="725"/>
      <c r="S94" s="725"/>
    </row>
    <row r="95" spans="1:19" hidden="1">
      <c r="A95" s="747">
        <f t="shared" si="16"/>
        <v>9.1999999999999957</v>
      </c>
      <c r="B95" s="725"/>
      <c r="C95" s="733">
        <f t="shared" si="14"/>
        <v>0</v>
      </c>
      <c r="D95" s="733">
        <f t="shared" si="12"/>
        <v>0</v>
      </c>
      <c r="E95" s="733"/>
      <c r="F95" s="733"/>
      <c r="G95" s="733">
        <f t="shared" si="13"/>
        <v>0</v>
      </c>
      <c r="H95" s="733"/>
      <c r="I95" s="733">
        <f t="shared" si="15"/>
        <v>0</v>
      </c>
      <c r="J95" s="733">
        <f t="shared" si="15"/>
        <v>0</v>
      </c>
      <c r="K95" s="733">
        <f t="shared" si="15"/>
        <v>0</v>
      </c>
      <c r="L95" s="733"/>
      <c r="M95" s="725"/>
      <c r="N95" s="725"/>
      <c r="O95" s="725"/>
      <c r="P95" s="733"/>
      <c r="Q95" s="725"/>
      <c r="R95" s="725"/>
      <c r="S95" s="725"/>
    </row>
    <row r="96" spans="1:19" hidden="1">
      <c r="A96" s="747">
        <f t="shared" si="16"/>
        <v>9.2099999999999955</v>
      </c>
      <c r="B96" s="725"/>
      <c r="C96" s="733">
        <f t="shared" si="14"/>
        <v>0</v>
      </c>
      <c r="D96" s="733">
        <f t="shared" si="12"/>
        <v>0</v>
      </c>
      <c r="E96" s="733"/>
      <c r="F96" s="733"/>
      <c r="G96" s="733">
        <f t="shared" si="13"/>
        <v>0</v>
      </c>
      <c r="H96" s="733"/>
      <c r="I96" s="733">
        <f t="shared" si="15"/>
        <v>0</v>
      </c>
      <c r="J96" s="733">
        <f t="shared" si="15"/>
        <v>0</v>
      </c>
      <c r="K96" s="733">
        <f t="shared" si="15"/>
        <v>0</v>
      </c>
      <c r="L96" s="733"/>
      <c r="M96" s="725"/>
      <c r="N96" s="725"/>
      <c r="O96" s="725"/>
      <c r="P96" s="733"/>
      <c r="Q96" s="725"/>
      <c r="R96" s="725"/>
      <c r="S96" s="725"/>
    </row>
    <row r="97" spans="1:19" hidden="1">
      <c r="A97" s="747">
        <f t="shared" si="16"/>
        <v>9.2199999999999953</v>
      </c>
      <c r="B97" s="725"/>
      <c r="C97" s="733">
        <f t="shared" si="14"/>
        <v>0</v>
      </c>
      <c r="D97" s="733">
        <f t="shared" si="12"/>
        <v>0</v>
      </c>
      <c r="E97" s="733"/>
      <c r="F97" s="733"/>
      <c r="G97" s="733">
        <f t="shared" si="13"/>
        <v>0</v>
      </c>
      <c r="H97" s="733"/>
      <c r="I97" s="733">
        <f t="shared" si="15"/>
        <v>0</v>
      </c>
      <c r="J97" s="733">
        <f t="shared" si="15"/>
        <v>0</v>
      </c>
      <c r="K97" s="733">
        <f t="shared" si="15"/>
        <v>0</v>
      </c>
      <c r="L97" s="733"/>
      <c r="M97" s="725"/>
      <c r="N97" s="725"/>
      <c r="O97" s="725"/>
      <c r="P97" s="733"/>
      <c r="Q97" s="725"/>
      <c r="R97" s="725"/>
      <c r="S97" s="725"/>
    </row>
    <row r="98" spans="1:19" hidden="1">
      <c r="A98" s="747">
        <f t="shared" si="16"/>
        <v>9.2299999999999951</v>
      </c>
      <c r="B98" s="725"/>
      <c r="C98" s="733">
        <f t="shared" si="14"/>
        <v>0</v>
      </c>
      <c r="D98" s="733">
        <f t="shared" si="12"/>
        <v>0</v>
      </c>
      <c r="E98" s="733"/>
      <c r="F98" s="733"/>
      <c r="G98" s="733">
        <f t="shared" si="13"/>
        <v>0</v>
      </c>
      <c r="H98" s="733"/>
      <c r="I98" s="733">
        <f t="shared" si="15"/>
        <v>0</v>
      </c>
      <c r="J98" s="733">
        <f t="shared" si="15"/>
        <v>0</v>
      </c>
      <c r="K98" s="733">
        <f t="shared" si="15"/>
        <v>0</v>
      </c>
      <c r="L98" s="733"/>
      <c r="M98" s="725"/>
      <c r="N98" s="725"/>
      <c r="O98" s="725"/>
      <c r="P98" s="733"/>
      <c r="Q98" s="725"/>
      <c r="R98" s="725"/>
      <c r="S98" s="725"/>
    </row>
    <row r="99" spans="1:19" hidden="1">
      <c r="A99" s="747">
        <f t="shared" si="16"/>
        <v>9.2399999999999949</v>
      </c>
      <c r="B99" s="725"/>
      <c r="C99" s="733">
        <f t="shared" si="14"/>
        <v>0</v>
      </c>
      <c r="D99" s="733">
        <f t="shared" si="12"/>
        <v>0</v>
      </c>
      <c r="E99" s="733"/>
      <c r="F99" s="733"/>
      <c r="G99" s="733">
        <f t="shared" si="13"/>
        <v>0</v>
      </c>
      <c r="H99" s="733"/>
      <c r="I99" s="733">
        <f t="shared" si="15"/>
        <v>0</v>
      </c>
      <c r="J99" s="733">
        <f t="shared" si="15"/>
        <v>0</v>
      </c>
      <c r="K99" s="733">
        <f t="shared" si="15"/>
        <v>0</v>
      </c>
      <c r="L99" s="733"/>
      <c r="M99" s="725"/>
      <c r="N99" s="725"/>
      <c r="O99" s="725"/>
      <c r="P99" s="733"/>
      <c r="Q99" s="725"/>
      <c r="R99" s="725"/>
      <c r="S99" s="725"/>
    </row>
    <row r="100" spans="1:19" hidden="1">
      <c r="A100" s="747">
        <f t="shared" si="16"/>
        <v>9.2499999999999947</v>
      </c>
      <c r="B100" s="725"/>
      <c r="C100" s="733">
        <f t="shared" si="14"/>
        <v>0</v>
      </c>
      <c r="D100" s="733">
        <f t="shared" si="12"/>
        <v>0</v>
      </c>
      <c r="E100" s="733"/>
      <c r="F100" s="733"/>
      <c r="G100" s="733">
        <f>ROUND(SUM(C100:F100)/2,0)</f>
        <v>0</v>
      </c>
      <c r="H100" s="733"/>
      <c r="I100" s="733">
        <f t="shared" si="15"/>
        <v>0</v>
      </c>
      <c r="J100" s="733">
        <f t="shared" si="15"/>
        <v>0</v>
      </c>
      <c r="K100" s="733">
        <f t="shared" si="15"/>
        <v>0</v>
      </c>
      <c r="L100" s="733"/>
      <c r="M100" s="725"/>
      <c r="N100" s="725"/>
      <c r="O100" s="725"/>
      <c r="P100" s="733"/>
      <c r="Q100" s="725"/>
      <c r="R100" s="725"/>
      <c r="S100" s="725"/>
    </row>
    <row r="101" spans="1:19" hidden="1">
      <c r="A101" s="747">
        <f t="shared" si="16"/>
        <v>9.2599999999999945</v>
      </c>
      <c r="B101" s="725"/>
      <c r="C101" s="733">
        <f t="shared" si="14"/>
        <v>0</v>
      </c>
      <c r="D101" s="733">
        <f t="shared" si="12"/>
        <v>0</v>
      </c>
      <c r="E101" s="733"/>
      <c r="F101" s="733"/>
      <c r="G101" s="733">
        <f t="shared" si="13"/>
        <v>0</v>
      </c>
      <c r="H101" s="733"/>
      <c r="I101" s="733">
        <f t="shared" si="15"/>
        <v>0</v>
      </c>
      <c r="J101" s="733">
        <f t="shared" si="15"/>
        <v>0</v>
      </c>
      <c r="K101" s="733">
        <f t="shared" si="15"/>
        <v>0</v>
      </c>
      <c r="L101" s="733"/>
      <c r="M101" s="725"/>
      <c r="N101" s="725"/>
      <c r="O101" s="725"/>
      <c r="P101" s="733"/>
      <c r="Q101" s="725"/>
      <c r="R101" s="725"/>
      <c r="S101" s="725"/>
    </row>
    <row r="102" spans="1:19" hidden="1">
      <c r="A102" s="747">
        <f t="shared" si="16"/>
        <v>9.2699999999999942</v>
      </c>
      <c r="B102" s="725"/>
      <c r="C102" s="733">
        <f t="shared" si="14"/>
        <v>0</v>
      </c>
      <c r="D102" s="733">
        <f t="shared" si="12"/>
        <v>0</v>
      </c>
      <c r="E102" s="733"/>
      <c r="F102" s="733"/>
      <c r="G102" s="733">
        <f t="shared" si="13"/>
        <v>0</v>
      </c>
      <c r="H102" s="733"/>
      <c r="I102" s="733">
        <f t="shared" si="15"/>
        <v>0</v>
      </c>
      <c r="J102" s="733">
        <f t="shared" si="15"/>
        <v>0</v>
      </c>
      <c r="K102" s="733">
        <f t="shared" si="15"/>
        <v>0</v>
      </c>
      <c r="L102" s="733"/>
      <c r="M102" s="725"/>
      <c r="N102" s="725"/>
      <c r="O102" s="725"/>
      <c r="P102" s="733"/>
      <c r="Q102" s="725"/>
      <c r="R102" s="725"/>
      <c r="S102" s="725"/>
    </row>
    <row r="103" spans="1:19" hidden="1">
      <c r="A103" s="747">
        <f t="shared" si="16"/>
        <v>9.279999999999994</v>
      </c>
      <c r="B103" s="725"/>
      <c r="C103" s="733">
        <f t="shared" si="14"/>
        <v>0</v>
      </c>
      <c r="D103" s="733">
        <f t="shared" si="12"/>
        <v>0</v>
      </c>
      <c r="E103" s="733"/>
      <c r="F103" s="733"/>
      <c r="G103" s="733">
        <f>ROUND(SUM(C103:F103)/2,0)</f>
        <v>0</v>
      </c>
      <c r="H103" s="733"/>
      <c r="I103" s="733">
        <f t="shared" si="15"/>
        <v>0</v>
      </c>
      <c r="J103" s="733">
        <f t="shared" si="15"/>
        <v>0</v>
      </c>
      <c r="K103" s="733">
        <f t="shared" si="15"/>
        <v>0</v>
      </c>
      <c r="L103" s="733"/>
      <c r="M103" s="725"/>
      <c r="N103" s="725"/>
      <c r="O103" s="725"/>
      <c r="P103" s="733"/>
      <c r="Q103" s="725"/>
      <c r="R103" s="725"/>
      <c r="S103" s="725"/>
    </row>
    <row r="104" spans="1:19" hidden="1">
      <c r="A104" s="747">
        <f t="shared" si="16"/>
        <v>9.2899999999999938</v>
      </c>
      <c r="B104" s="725"/>
      <c r="C104" s="733">
        <f t="shared" si="14"/>
        <v>0</v>
      </c>
      <c r="D104" s="733">
        <f t="shared" si="12"/>
        <v>0</v>
      </c>
      <c r="E104" s="733"/>
      <c r="F104" s="733"/>
      <c r="G104" s="733">
        <f t="shared" si="13"/>
        <v>0</v>
      </c>
      <c r="H104" s="733"/>
      <c r="I104" s="733">
        <f t="shared" si="15"/>
        <v>0</v>
      </c>
      <c r="J104" s="733">
        <f t="shared" si="15"/>
        <v>0</v>
      </c>
      <c r="K104" s="733">
        <f t="shared" si="15"/>
        <v>0</v>
      </c>
      <c r="L104" s="733"/>
      <c r="M104" s="725"/>
      <c r="N104" s="725"/>
      <c r="O104" s="725"/>
      <c r="P104" s="733"/>
      <c r="Q104" s="725"/>
      <c r="R104" s="725"/>
      <c r="S104" s="725"/>
    </row>
    <row r="105" spans="1:19" hidden="1">
      <c r="A105" s="747">
        <f t="shared" si="16"/>
        <v>9.2999999999999936</v>
      </c>
      <c r="B105" s="725"/>
      <c r="C105" s="733">
        <f t="shared" si="14"/>
        <v>0</v>
      </c>
      <c r="D105" s="733">
        <f t="shared" si="12"/>
        <v>0</v>
      </c>
      <c r="E105" s="733"/>
      <c r="F105" s="733"/>
      <c r="G105" s="733">
        <f t="shared" si="13"/>
        <v>0</v>
      </c>
      <c r="H105" s="733"/>
      <c r="I105" s="733">
        <f t="shared" si="15"/>
        <v>0</v>
      </c>
      <c r="J105" s="733">
        <f t="shared" si="15"/>
        <v>0</v>
      </c>
      <c r="K105" s="733">
        <f t="shared" si="15"/>
        <v>0</v>
      </c>
      <c r="L105" s="733"/>
      <c r="M105" s="725"/>
      <c r="N105" s="725"/>
      <c r="O105" s="725"/>
      <c r="P105" s="733"/>
      <c r="Q105" s="725"/>
      <c r="R105" s="725"/>
      <c r="S105" s="725"/>
    </row>
    <row r="106" spans="1:19" hidden="1">
      <c r="A106" s="747">
        <f t="shared" si="16"/>
        <v>9.3099999999999934</v>
      </c>
      <c r="B106" s="725"/>
      <c r="C106" s="737">
        <f t="shared" si="14"/>
        <v>0</v>
      </c>
      <c r="D106" s="737">
        <f t="shared" si="12"/>
        <v>0</v>
      </c>
      <c r="E106" s="737"/>
      <c r="F106" s="737"/>
      <c r="G106" s="737">
        <f t="shared" si="13"/>
        <v>0</v>
      </c>
      <c r="H106" s="737"/>
      <c r="I106" s="737">
        <f t="shared" si="15"/>
        <v>0</v>
      </c>
      <c r="J106" s="737">
        <f t="shared" si="15"/>
        <v>0</v>
      </c>
      <c r="K106" s="737">
        <f t="shared" si="15"/>
        <v>0</v>
      </c>
      <c r="L106" s="737"/>
      <c r="M106" s="725"/>
      <c r="N106" s="725"/>
      <c r="O106" s="725"/>
      <c r="P106" s="737"/>
      <c r="Q106" s="725"/>
      <c r="R106" s="725"/>
      <c r="S106" s="725"/>
    </row>
    <row r="107" spans="1:19" hidden="1">
      <c r="A107" s="747">
        <f t="shared" si="16"/>
        <v>9.3199999999999932</v>
      </c>
      <c r="B107" s="725"/>
      <c r="C107" s="733">
        <f t="shared" si="14"/>
        <v>0</v>
      </c>
      <c r="D107" s="733">
        <f t="shared" si="12"/>
        <v>0</v>
      </c>
      <c r="E107" s="733"/>
      <c r="F107" s="733"/>
      <c r="G107" s="733">
        <f t="shared" si="13"/>
        <v>0</v>
      </c>
      <c r="H107" s="733"/>
      <c r="I107" s="733">
        <f t="shared" si="15"/>
        <v>0</v>
      </c>
      <c r="J107" s="733">
        <f t="shared" si="15"/>
        <v>0</v>
      </c>
      <c r="K107" s="733">
        <f t="shared" si="15"/>
        <v>0</v>
      </c>
      <c r="L107" s="733"/>
      <c r="M107" s="725"/>
      <c r="N107" s="725"/>
      <c r="O107" s="725"/>
      <c r="P107" s="733"/>
      <c r="Q107" s="725"/>
      <c r="R107" s="725"/>
      <c r="S107" s="725"/>
    </row>
    <row r="108" spans="1:19" hidden="1">
      <c r="A108" s="747">
        <f t="shared" si="16"/>
        <v>9.329999999999993</v>
      </c>
      <c r="B108" s="725"/>
      <c r="C108" s="733">
        <f t="shared" si="14"/>
        <v>0</v>
      </c>
      <c r="D108" s="733">
        <f t="shared" si="12"/>
        <v>0</v>
      </c>
      <c r="E108" s="733"/>
      <c r="F108" s="733"/>
      <c r="G108" s="733">
        <f t="shared" si="13"/>
        <v>0</v>
      </c>
      <c r="H108" s="733"/>
      <c r="I108" s="733">
        <f t="shared" si="15"/>
        <v>0</v>
      </c>
      <c r="J108" s="733">
        <f t="shared" si="15"/>
        <v>0</v>
      </c>
      <c r="K108" s="733">
        <f t="shared" si="15"/>
        <v>0</v>
      </c>
      <c r="L108" s="733"/>
      <c r="M108" s="725"/>
      <c r="N108" s="725"/>
      <c r="O108" s="725"/>
      <c r="P108" s="733"/>
      <c r="Q108" s="725"/>
      <c r="R108" s="725"/>
      <c r="S108" s="725"/>
    </row>
    <row r="109" spans="1:19" hidden="1">
      <c r="A109" s="747">
        <f t="shared" si="16"/>
        <v>9.3399999999999928</v>
      </c>
      <c r="B109" s="725"/>
      <c r="C109" s="733">
        <f t="shared" si="14"/>
        <v>0</v>
      </c>
      <c r="D109" s="733">
        <f t="shared" si="12"/>
        <v>0</v>
      </c>
      <c r="E109" s="733"/>
      <c r="F109" s="733"/>
      <c r="G109" s="733">
        <f t="shared" si="13"/>
        <v>0</v>
      </c>
      <c r="H109" s="733"/>
      <c r="I109" s="733">
        <f t="shared" si="15"/>
        <v>0</v>
      </c>
      <c r="J109" s="733">
        <f t="shared" si="15"/>
        <v>0</v>
      </c>
      <c r="K109" s="733">
        <f t="shared" si="15"/>
        <v>0</v>
      </c>
      <c r="L109" s="733"/>
      <c r="M109" s="725"/>
      <c r="N109" s="725"/>
      <c r="O109" s="725"/>
      <c r="P109" s="733"/>
      <c r="Q109" s="725"/>
      <c r="R109" s="725"/>
      <c r="S109" s="725"/>
    </row>
    <row r="110" spans="1:19" hidden="1">
      <c r="A110" s="747">
        <f t="shared" si="16"/>
        <v>9.3499999999999925</v>
      </c>
      <c r="B110" s="725"/>
      <c r="C110" s="733">
        <f t="shared" si="14"/>
        <v>0</v>
      </c>
      <c r="D110" s="733">
        <f t="shared" si="12"/>
        <v>0</v>
      </c>
      <c r="E110" s="733"/>
      <c r="F110" s="733"/>
      <c r="G110" s="733">
        <f t="shared" si="13"/>
        <v>0</v>
      </c>
      <c r="H110" s="733"/>
      <c r="I110" s="733">
        <f t="shared" si="15"/>
        <v>0</v>
      </c>
      <c r="J110" s="733">
        <f t="shared" si="15"/>
        <v>0</v>
      </c>
      <c r="K110" s="733">
        <f t="shared" si="15"/>
        <v>0</v>
      </c>
      <c r="L110" s="733"/>
      <c r="M110" s="725"/>
      <c r="N110" s="725"/>
      <c r="O110" s="725"/>
      <c r="P110" s="733"/>
      <c r="Q110" s="725"/>
      <c r="R110" s="725"/>
      <c r="S110" s="725"/>
    </row>
    <row r="111" spans="1:19" hidden="1">
      <c r="A111" s="747">
        <f t="shared" si="16"/>
        <v>9.3599999999999923</v>
      </c>
      <c r="B111" s="725"/>
      <c r="C111" s="733">
        <f t="shared" si="14"/>
        <v>0</v>
      </c>
      <c r="D111" s="733">
        <f t="shared" si="12"/>
        <v>0</v>
      </c>
      <c r="E111" s="733"/>
      <c r="F111" s="733"/>
      <c r="G111" s="733">
        <f t="shared" si="13"/>
        <v>0</v>
      </c>
      <c r="H111" s="733"/>
      <c r="I111" s="733">
        <f t="shared" si="15"/>
        <v>0</v>
      </c>
      <c r="J111" s="733">
        <f t="shared" si="15"/>
        <v>0</v>
      </c>
      <c r="K111" s="733">
        <f t="shared" si="15"/>
        <v>0</v>
      </c>
      <c r="L111" s="733"/>
      <c r="M111" s="725"/>
      <c r="N111" s="725"/>
      <c r="O111" s="725"/>
      <c r="P111" s="733"/>
      <c r="Q111" s="725"/>
      <c r="R111" s="725"/>
      <c r="S111" s="725"/>
    </row>
    <row r="112" spans="1:19" hidden="1">
      <c r="A112" s="747">
        <f t="shared" si="16"/>
        <v>9.3699999999999921</v>
      </c>
      <c r="B112" s="725"/>
      <c r="C112" s="733">
        <f t="shared" si="14"/>
        <v>0</v>
      </c>
      <c r="D112" s="733">
        <f t="shared" si="12"/>
        <v>0</v>
      </c>
      <c r="E112" s="733"/>
      <c r="F112" s="733"/>
      <c r="G112" s="733">
        <f t="shared" si="13"/>
        <v>0</v>
      </c>
      <c r="H112" s="733"/>
      <c r="I112" s="733">
        <f t="shared" si="15"/>
        <v>0</v>
      </c>
      <c r="J112" s="733">
        <f t="shared" si="15"/>
        <v>0</v>
      </c>
      <c r="K112" s="733">
        <f t="shared" si="15"/>
        <v>0</v>
      </c>
      <c r="L112" s="733"/>
      <c r="M112" s="725"/>
      <c r="N112" s="725"/>
      <c r="O112" s="725"/>
      <c r="P112" s="733"/>
      <c r="Q112" s="725"/>
      <c r="R112" s="725"/>
      <c r="S112" s="725"/>
    </row>
    <row r="113" spans="1:19" hidden="1">
      <c r="A113" s="747">
        <f t="shared" si="16"/>
        <v>9.3799999999999919</v>
      </c>
      <c r="B113" s="725"/>
      <c r="C113" s="733">
        <f t="shared" si="14"/>
        <v>0</v>
      </c>
      <c r="D113" s="733">
        <f t="shared" si="12"/>
        <v>0</v>
      </c>
      <c r="E113" s="733"/>
      <c r="F113" s="733"/>
      <c r="G113" s="733">
        <f t="shared" si="13"/>
        <v>0</v>
      </c>
      <c r="H113" s="733"/>
      <c r="I113" s="733">
        <f t="shared" si="15"/>
        <v>0</v>
      </c>
      <c r="J113" s="733">
        <f t="shared" si="15"/>
        <v>0</v>
      </c>
      <c r="K113" s="733">
        <f t="shared" si="15"/>
        <v>0</v>
      </c>
      <c r="L113" s="733"/>
      <c r="M113" s="725"/>
      <c r="N113" s="725"/>
      <c r="O113" s="725"/>
      <c r="P113" s="733"/>
      <c r="Q113" s="725"/>
      <c r="R113" s="725"/>
      <c r="S113" s="725"/>
    </row>
    <row r="114" spans="1:19" hidden="1">
      <c r="A114" s="747">
        <f t="shared" si="16"/>
        <v>9.3899999999999917</v>
      </c>
      <c r="B114" s="725"/>
      <c r="C114" s="733">
        <f t="shared" si="14"/>
        <v>0</v>
      </c>
      <c r="D114" s="733">
        <f t="shared" si="12"/>
        <v>0</v>
      </c>
      <c r="E114" s="733"/>
      <c r="F114" s="733"/>
      <c r="G114" s="733">
        <f t="shared" si="13"/>
        <v>0</v>
      </c>
      <c r="H114" s="733"/>
      <c r="I114" s="733">
        <f t="shared" si="15"/>
        <v>0</v>
      </c>
      <c r="J114" s="733">
        <f t="shared" si="15"/>
        <v>0</v>
      </c>
      <c r="K114" s="733">
        <f t="shared" si="15"/>
        <v>0</v>
      </c>
      <c r="L114" s="733"/>
      <c r="M114" s="725"/>
      <c r="N114" s="725"/>
      <c r="O114" s="725"/>
      <c r="P114" s="733"/>
      <c r="Q114" s="725"/>
      <c r="R114" s="725"/>
      <c r="S114" s="725"/>
    </row>
    <row r="115" spans="1:19" hidden="1">
      <c r="A115" s="747">
        <f t="shared" si="16"/>
        <v>9.3999999999999915</v>
      </c>
      <c r="B115" s="725"/>
      <c r="C115" s="733">
        <f t="shared" si="14"/>
        <v>0</v>
      </c>
      <c r="D115" s="733">
        <f t="shared" si="12"/>
        <v>0</v>
      </c>
      <c r="E115" s="733"/>
      <c r="F115" s="733"/>
      <c r="G115" s="733">
        <f t="shared" si="13"/>
        <v>0</v>
      </c>
      <c r="H115" s="733"/>
      <c r="I115" s="733">
        <f t="shared" si="15"/>
        <v>0</v>
      </c>
      <c r="J115" s="733">
        <f t="shared" si="15"/>
        <v>0</v>
      </c>
      <c r="K115" s="733">
        <f t="shared" si="15"/>
        <v>0</v>
      </c>
      <c r="L115" s="733"/>
      <c r="M115" s="725"/>
      <c r="N115" s="725"/>
      <c r="O115" s="725"/>
      <c r="P115" s="733"/>
      <c r="Q115" s="725"/>
      <c r="R115" s="725"/>
      <c r="S115" s="725"/>
    </row>
    <row r="116" spans="1:19" hidden="1">
      <c r="A116" s="747">
        <f t="shared" si="16"/>
        <v>9.4099999999999913</v>
      </c>
      <c r="B116" s="725"/>
      <c r="C116" s="733">
        <f t="shared" si="14"/>
        <v>0</v>
      </c>
      <c r="D116" s="733">
        <f t="shared" si="12"/>
        <v>0</v>
      </c>
      <c r="E116" s="733"/>
      <c r="F116" s="733"/>
      <c r="G116" s="733">
        <f t="shared" si="13"/>
        <v>0</v>
      </c>
      <c r="H116" s="733"/>
      <c r="I116" s="733">
        <f t="shared" si="15"/>
        <v>0</v>
      </c>
      <c r="J116" s="733">
        <f t="shared" si="15"/>
        <v>0</v>
      </c>
      <c r="K116" s="733">
        <f t="shared" si="15"/>
        <v>0</v>
      </c>
      <c r="L116" s="733"/>
      <c r="M116" s="725"/>
      <c r="N116" s="725"/>
      <c r="O116" s="725"/>
      <c r="P116" s="733"/>
      <c r="Q116" s="725"/>
      <c r="R116" s="725"/>
      <c r="S116" s="725"/>
    </row>
    <row r="117" spans="1:19" hidden="1">
      <c r="A117" s="747">
        <f t="shared" si="16"/>
        <v>9.419999999999991</v>
      </c>
      <c r="B117" s="725"/>
      <c r="C117" s="733">
        <f t="shared" si="14"/>
        <v>0</v>
      </c>
      <c r="D117" s="733">
        <f t="shared" si="12"/>
        <v>0</v>
      </c>
      <c r="E117" s="733"/>
      <c r="F117" s="733"/>
      <c r="G117" s="733">
        <f t="shared" si="13"/>
        <v>0</v>
      </c>
      <c r="H117" s="733"/>
      <c r="I117" s="733">
        <f t="shared" si="15"/>
        <v>0</v>
      </c>
      <c r="J117" s="733">
        <f t="shared" si="15"/>
        <v>0</v>
      </c>
      <c r="K117" s="733">
        <f t="shared" si="15"/>
        <v>0</v>
      </c>
      <c r="L117" s="733"/>
      <c r="M117" s="725"/>
      <c r="N117" s="725"/>
      <c r="O117" s="725"/>
      <c r="P117" s="733"/>
      <c r="Q117" s="725"/>
      <c r="R117" s="725"/>
      <c r="S117" s="725"/>
    </row>
    <row r="118" spans="1:19" hidden="1">
      <c r="A118" s="747">
        <f t="shared" si="16"/>
        <v>9.4299999999999908</v>
      </c>
      <c r="B118" s="725"/>
      <c r="C118" s="733">
        <f t="shared" si="14"/>
        <v>0</v>
      </c>
      <c r="D118" s="733">
        <f t="shared" si="12"/>
        <v>0</v>
      </c>
      <c r="E118" s="733"/>
      <c r="F118" s="733"/>
      <c r="G118" s="733">
        <f t="shared" si="13"/>
        <v>0</v>
      </c>
      <c r="H118" s="733"/>
      <c r="I118" s="733">
        <f t="shared" si="15"/>
        <v>0</v>
      </c>
      <c r="J118" s="733">
        <f t="shared" si="15"/>
        <v>0</v>
      </c>
      <c r="K118" s="733">
        <f t="shared" si="15"/>
        <v>0</v>
      </c>
      <c r="L118" s="733"/>
      <c r="M118" s="725"/>
      <c r="N118" s="725"/>
      <c r="O118" s="725"/>
      <c r="P118" s="733"/>
      <c r="Q118" s="725"/>
      <c r="R118" s="725"/>
      <c r="S118" s="725"/>
    </row>
    <row r="119" spans="1:19" hidden="1">
      <c r="A119" s="747">
        <f t="shared" si="16"/>
        <v>9.4399999999999906</v>
      </c>
      <c r="B119" s="725"/>
      <c r="C119" s="733">
        <f t="shared" si="14"/>
        <v>0</v>
      </c>
      <c r="D119" s="733">
        <f t="shared" si="12"/>
        <v>0</v>
      </c>
      <c r="E119" s="733"/>
      <c r="F119" s="733"/>
      <c r="G119" s="733">
        <f t="shared" si="13"/>
        <v>0</v>
      </c>
      <c r="H119" s="733"/>
      <c r="I119" s="733">
        <f t="shared" si="15"/>
        <v>0</v>
      </c>
      <c r="J119" s="733">
        <f t="shared" si="15"/>
        <v>0</v>
      </c>
      <c r="K119" s="733">
        <f t="shared" si="15"/>
        <v>0</v>
      </c>
      <c r="L119" s="733"/>
      <c r="M119" s="725"/>
      <c r="N119" s="725"/>
      <c r="O119" s="725"/>
      <c r="P119" s="733"/>
      <c r="Q119" s="725"/>
      <c r="R119" s="725"/>
      <c r="S119" s="725"/>
    </row>
    <row r="120" spans="1:19" hidden="1">
      <c r="A120" s="747">
        <f t="shared" si="16"/>
        <v>9.4499999999999904</v>
      </c>
      <c r="B120" s="725"/>
      <c r="C120" s="733">
        <f t="shared" si="14"/>
        <v>0</v>
      </c>
      <c r="D120" s="733">
        <f t="shared" si="12"/>
        <v>0</v>
      </c>
      <c r="E120" s="733"/>
      <c r="F120" s="733"/>
      <c r="G120" s="733">
        <f t="shared" si="13"/>
        <v>0</v>
      </c>
      <c r="H120" s="733"/>
      <c r="I120" s="733">
        <f t="shared" si="15"/>
        <v>0</v>
      </c>
      <c r="J120" s="733">
        <f t="shared" si="15"/>
        <v>0</v>
      </c>
      <c r="K120" s="733">
        <f t="shared" si="15"/>
        <v>0</v>
      </c>
      <c r="L120" s="733"/>
      <c r="M120" s="725"/>
      <c r="N120" s="725"/>
      <c r="O120" s="725"/>
      <c r="P120" s="733"/>
      <c r="Q120" s="725"/>
      <c r="R120" s="725"/>
      <c r="S120" s="725"/>
    </row>
    <row r="121" spans="1:19" hidden="1">
      <c r="A121" s="747">
        <f t="shared" si="16"/>
        <v>9.4599999999999902</v>
      </c>
      <c r="B121" s="725"/>
      <c r="C121" s="733">
        <f t="shared" si="14"/>
        <v>0</v>
      </c>
      <c r="D121" s="733">
        <f t="shared" si="12"/>
        <v>0</v>
      </c>
      <c r="E121" s="733"/>
      <c r="F121" s="733"/>
      <c r="G121" s="733">
        <f t="shared" si="13"/>
        <v>0</v>
      </c>
      <c r="H121" s="733"/>
      <c r="I121" s="733">
        <f t="shared" si="15"/>
        <v>0</v>
      </c>
      <c r="J121" s="733">
        <f t="shared" si="15"/>
        <v>0</v>
      </c>
      <c r="K121" s="733">
        <f t="shared" si="15"/>
        <v>0</v>
      </c>
      <c r="L121" s="733"/>
      <c r="M121" s="725"/>
      <c r="N121" s="725"/>
      <c r="O121" s="725"/>
      <c r="P121" s="733"/>
      <c r="Q121" s="725"/>
      <c r="R121" s="725"/>
      <c r="S121" s="725"/>
    </row>
    <row r="122" spans="1:19" hidden="1">
      <c r="A122" s="747">
        <f t="shared" si="16"/>
        <v>9.46999999999999</v>
      </c>
      <c r="B122" s="725"/>
      <c r="C122" s="733">
        <f t="shared" si="14"/>
        <v>0</v>
      </c>
      <c r="D122" s="733">
        <f t="shared" si="12"/>
        <v>0</v>
      </c>
      <c r="E122" s="733"/>
      <c r="F122" s="733"/>
      <c r="G122" s="733">
        <f t="shared" si="13"/>
        <v>0</v>
      </c>
      <c r="H122" s="733"/>
      <c r="I122" s="733">
        <f t="shared" si="15"/>
        <v>0</v>
      </c>
      <c r="J122" s="733">
        <f t="shared" si="15"/>
        <v>0</v>
      </c>
      <c r="K122" s="733">
        <f t="shared" si="15"/>
        <v>0</v>
      </c>
      <c r="L122" s="733"/>
      <c r="M122" s="725"/>
      <c r="N122" s="725"/>
      <c r="O122" s="725"/>
      <c r="P122" s="733"/>
      <c r="Q122" s="725"/>
      <c r="R122" s="725"/>
      <c r="S122" s="725"/>
    </row>
    <row r="123" spans="1:19" hidden="1">
      <c r="A123" s="747">
        <f t="shared" si="16"/>
        <v>9.4799999999999898</v>
      </c>
      <c r="B123" s="725"/>
      <c r="C123" s="733">
        <f t="shared" si="14"/>
        <v>0</v>
      </c>
      <c r="D123" s="733">
        <f t="shared" si="12"/>
        <v>0</v>
      </c>
      <c r="E123" s="733"/>
      <c r="F123" s="733"/>
      <c r="G123" s="733">
        <f t="shared" si="13"/>
        <v>0</v>
      </c>
      <c r="H123" s="733"/>
      <c r="I123" s="733">
        <f t="shared" si="15"/>
        <v>0</v>
      </c>
      <c r="J123" s="733">
        <f t="shared" si="15"/>
        <v>0</v>
      </c>
      <c r="K123" s="733">
        <f t="shared" si="15"/>
        <v>0</v>
      </c>
      <c r="L123" s="733"/>
      <c r="M123" s="725"/>
      <c r="N123" s="725"/>
      <c r="O123" s="725"/>
      <c r="P123" s="733"/>
      <c r="Q123" s="725"/>
      <c r="R123" s="725"/>
      <c r="S123" s="725"/>
    </row>
    <row r="124" spans="1:19" hidden="1">
      <c r="A124" s="747">
        <f t="shared" si="16"/>
        <v>9.4899999999999896</v>
      </c>
      <c r="B124" s="725"/>
      <c r="C124" s="733">
        <f t="shared" si="14"/>
        <v>0</v>
      </c>
      <c r="D124" s="733">
        <f t="shared" si="12"/>
        <v>0</v>
      </c>
      <c r="E124" s="733"/>
      <c r="F124" s="733"/>
      <c r="G124" s="733">
        <f t="shared" si="13"/>
        <v>0</v>
      </c>
      <c r="H124" s="733"/>
      <c r="I124" s="733">
        <f t="shared" si="15"/>
        <v>0</v>
      </c>
      <c r="J124" s="733">
        <f t="shared" si="15"/>
        <v>0</v>
      </c>
      <c r="K124" s="733">
        <f t="shared" si="15"/>
        <v>0</v>
      </c>
      <c r="L124" s="733"/>
      <c r="M124" s="725"/>
      <c r="N124" s="725"/>
      <c r="O124" s="725"/>
      <c r="P124" s="733"/>
      <c r="Q124" s="725"/>
      <c r="R124" s="725"/>
      <c r="S124" s="725"/>
    </row>
    <row r="125" spans="1:19" hidden="1">
      <c r="A125" s="747">
        <f t="shared" si="16"/>
        <v>9.4999999999999893</v>
      </c>
      <c r="B125" s="725"/>
      <c r="C125" s="733">
        <f t="shared" si="14"/>
        <v>0</v>
      </c>
      <c r="D125" s="733">
        <f t="shared" si="12"/>
        <v>0</v>
      </c>
      <c r="E125" s="733"/>
      <c r="F125" s="733"/>
      <c r="G125" s="733">
        <f t="shared" si="13"/>
        <v>0</v>
      </c>
      <c r="H125" s="733"/>
      <c r="I125" s="733">
        <f t="shared" si="15"/>
        <v>0</v>
      </c>
      <c r="J125" s="733">
        <f t="shared" si="15"/>
        <v>0</v>
      </c>
      <c r="K125" s="733">
        <f t="shared" si="15"/>
        <v>0</v>
      </c>
      <c r="L125" s="733"/>
      <c r="M125" s="725"/>
      <c r="N125" s="725"/>
      <c r="O125" s="725"/>
      <c r="P125" s="733"/>
      <c r="Q125" s="725"/>
      <c r="R125" s="725"/>
      <c r="S125" s="725"/>
    </row>
    <row r="126" spans="1:19" hidden="1">
      <c r="A126" s="747">
        <f t="shared" si="16"/>
        <v>9.5099999999999891</v>
      </c>
      <c r="B126" s="725"/>
      <c r="C126" s="733">
        <f t="shared" si="14"/>
        <v>0</v>
      </c>
      <c r="D126" s="733">
        <f t="shared" si="12"/>
        <v>0</v>
      </c>
      <c r="E126" s="733"/>
      <c r="F126" s="733"/>
      <c r="G126" s="733">
        <f t="shared" si="13"/>
        <v>0</v>
      </c>
      <c r="H126" s="733"/>
      <c r="I126" s="733">
        <f t="shared" si="15"/>
        <v>0</v>
      </c>
      <c r="J126" s="733">
        <f t="shared" si="15"/>
        <v>0</v>
      </c>
      <c r="K126" s="733">
        <f t="shared" si="15"/>
        <v>0</v>
      </c>
      <c r="L126" s="733"/>
      <c r="M126" s="725"/>
      <c r="N126" s="725"/>
      <c r="O126" s="725"/>
      <c r="P126" s="733"/>
      <c r="Q126" s="725"/>
      <c r="R126" s="725"/>
      <c r="S126" s="725"/>
    </row>
    <row r="127" spans="1:19" hidden="1">
      <c r="A127" s="747">
        <f t="shared" si="16"/>
        <v>9.5199999999999889</v>
      </c>
      <c r="B127" s="725"/>
      <c r="C127" s="733">
        <f t="shared" si="14"/>
        <v>0</v>
      </c>
      <c r="D127" s="733">
        <f t="shared" si="12"/>
        <v>0</v>
      </c>
      <c r="E127" s="733"/>
      <c r="F127" s="733"/>
      <c r="G127" s="733">
        <f t="shared" si="13"/>
        <v>0</v>
      </c>
      <c r="H127" s="733"/>
      <c r="I127" s="733">
        <f t="shared" si="15"/>
        <v>0</v>
      </c>
      <c r="J127" s="733">
        <f t="shared" si="15"/>
        <v>0</v>
      </c>
      <c r="K127" s="733">
        <f t="shared" si="15"/>
        <v>0</v>
      </c>
      <c r="L127" s="733"/>
      <c r="M127" s="725"/>
      <c r="N127" s="725"/>
      <c r="O127" s="725"/>
      <c r="P127" s="733"/>
      <c r="Q127" s="725"/>
      <c r="R127" s="725"/>
      <c r="S127" s="725"/>
    </row>
    <row r="128" spans="1:19" hidden="1">
      <c r="A128" s="747">
        <f t="shared" si="16"/>
        <v>9.5299999999999887</v>
      </c>
      <c r="B128" s="725"/>
      <c r="C128" s="733">
        <f t="shared" si="14"/>
        <v>0</v>
      </c>
      <c r="D128" s="733">
        <f t="shared" si="12"/>
        <v>0</v>
      </c>
      <c r="E128" s="733"/>
      <c r="F128" s="733"/>
      <c r="G128" s="733">
        <f t="shared" si="13"/>
        <v>0</v>
      </c>
      <c r="H128" s="733"/>
      <c r="I128" s="733">
        <f t="shared" si="15"/>
        <v>0</v>
      </c>
      <c r="J128" s="733">
        <f t="shared" si="15"/>
        <v>0</v>
      </c>
      <c r="K128" s="733">
        <f t="shared" si="15"/>
        <v>0</v>
      </c>
      <c r="L128" s="733"/>
      <c r="M128" s="725"/>
      <c r="N128" s="725"/>
      <c r="O128" s="725"/>
      <c r="P128" s="733"/>
      <c r="Q128" s="725"/>
      <c r="R128" s="725"/>
      <c r="S128" s="725"/>
    </row>
    <row r="129" spans="1:19" hidden="1">
      <c r="A129" s="747">
        <f t="shared" si="16"/>
        <v>9.5399999999999885</v>
      </c>
      <c r="B129" s="725"/>
      <c r="C129" s="733">
        <f t="shared" si="14"/>
        <v>0</v>
      </c>
      <c r="D129" s="733">
        <f t="shared" si="12"/>
        <v>0</v>
      </c>
      <c r="E129" s="733"/>
      <c r="F129" s="733"/>
      <c r="G129" s="733">
        <f t="shared" si="13"/>
        <v>0</v>
      </c>
      <c r="H129" s="733"/>
      <c r="I129" s="733">
        <f t="shared" si="15"/>
        <v>0</v>
      </c>
      <c r="J129" s="733">
        <f t="shared" si="15"/>
        <v>0</v>
      </c>
      <c r="K129" s="733">
        <f t="shared" si="15"/>
        <v>0</v>
      </c>
      <c r="L129" s="733"/>
      <c r="M129" s="725"/>
      <c r="N129" s="725"/>
      <c r="O129" s="725"/>
      <c r="P129" s="733"/>
      <c r="Q129" s="725"/>
      <c r="R129" s="725"/>
      <c r="S129" s="725"/>
    </row>
    <row r="130" spans="1:19" hidden="1">
      <c r="A130" s="747">
        <f t="shared" si="16"/>
        <v>9.5499999999999883</v>
      </c>
      <c r="B130" s="725"/>
      <c r="C130" s="733">
        <f t="shared" si="14"/>
        <v>0</v>
      </c>
      <c r="D130" s="733">
        <f t="shared" si="12"/>
        <v>0</v>
      </c>
      <c r="E130" s="733"/>
      <c r="F130" s="733"/>
      <c r="G130" s="733">
        <f t="shared" si="13"/>
        <v>0</v>
      </c>
      <c r="H130" s="733"/>
      <c r="I130" s="733">
        <f t="shared" si="15"/>
        <v>0</v>
      </c>
      <c r="J130" s="733">
        <f t="shared" si="15"/>
        <v>0</v>
      </c>
      <c r="K130" s="733">
        <f t="shared" si="15"/>
        <v>0</v>
      </c>
      <c r="L130" s="733"/>
      <c r="M130" s="725"/>
      <c r="N130" s="725"/>
      <c r="O130" s="725"/>
      <c r="P130" s="733"/>
      <c r="Q130" s="725"/>
      <c r="R130" s="725"/>
      <c r="S130" s="725"/>
    </row>
    <row r="131" spans="1:19" hidden="1">
      <c r="A131" s="747">
        <f t="shared" si="16"/>
        <v>9.5599999999999881</v>
      </c>
      <c r="B131" s="725"/>
      <c r="C131" s="733">
        <f t="shared" si="14"/>
        <v>0</v>
      </c>
      <c r="D131" s="733">
        <f t="shared" si="12"/>
        <v>0</v>
      </c>
      <c r="E131" s="733"/>
      <c r="F131" s="733"/>
      <c r="G131" s="733">
        <f>ROUND(SUM(C131:F131)/2,0)</f>
        <v>0</v>
      </c>
      <c r="H131" s="733"/>
      <c r="I131" s="733">
        <f t="shared" si="15"/>
        <v>0</v>
      </c>
      <c r="J131" s="733">
        <f t="shared" si="15"/>
        <v>0</v>
      </c>
      <c r="K131" s="733">
        <f t="shared" si="15"/>
        <v>0</v>
      </c>
      <c r="L131" s="733"/>
      <c r="M131" s="725"/>
      <c r="N131" s="725"/>
      <c r="O131" s="725"/>
      <c r="P131" s="733"/>
      <c r="Q131" s="725"/>
      <c r="R131" s="725"/>
      <c r="S131" s="725"/>
    </row>
    <row r="132" spans="1:19" hidden="1">
      <c r="A132" s="747">
        <f t="shared" si="16"/>
        <v>9.5699999999999878</v>
      </c>
      <c r="B132" s="725"/>
      <c r="C132" s="733">
        <f t="shared" si="14"/>
        <v>0</v>
      </c>
      <c r="D132" s="733">
        <f t="shared" si="12"/>
        <v>0</v>
      </c>
      <c r="E132" s="733"/>
      <c r="F132" s="733"/>
      <c r="G132" s="733">
        <f>ROUND(SUM(C132:F132)/2,0)</f>
        <v>0</v>
      </c>
      <c r="H132" s="733"/>
      <c r="I132" s="733">
        <f t="shared" si="15"/>
        <v>0</v>
      </c>
      <c r="J132" s="733">
        <f t="shared" si="15"/>
        <v>0</v>
      </c>
      <c r="K132" s="733">
        <f t="shared" si="15"/>
        <v>0</v>
      </c>
      <c r="L132" s="733"/>
      <c r="M132" s="725"/>
      <c r="N132" s="725"/>
      <c r="O132" s="725"/>
      <c r="P132" s="733"/>
      <c r="Q132" s="725"/>
      <c r="R132" s="725"/>
      <c r="S132" s="725"/>
    </row>
    <row r="133" spans="1:19" hidden="1">
      <c r="A133" s="747">
        <f t="shared" si="16"/>
        <v>9.5799999999999876</v>
      </c>
      <c r="B133" s="725"/>
      <c r="C133" s="733">
        <f t="shared" si="14"/>
        <v>0</v>
      </c>
      <c r="D133" s="733">
        <f t="shared" si="12"/>
        <v>0</v>
      </c>
      <c r="E133" s="733"/>
      <c r="F133" s="733"/>
      <c r="G133" s="733">
        <f>ROUND(SUM(C133:F133)/2,0)</f>
        <v>0</v>
      </c>
      <c r="H133" s="733"/>
      <c r="I133" s="733">
        <f t="shared" si="15"/>
        <v>0</v>
      </c>
      <c r="J133" s="733">
        <f t="shared" si="15"/>
        <v>0</v>
      </c>
      <c r="K133" s="733">
        <f t="shared" si="15"/>
        <v>0</v>
      </c>
      <c r="L133" s="733"/>
      <c r="M133" s="725"/>
      <c r="N133" s="725"/>
      <c r="O133" s="725"/>
      <c r="P133" s="733"/>
      <c r="Q133" s="725"/>
      <c r="R133" s="725"/>
      <c r="S133" s="725"/>
    </row>
    <row r="134" spans="1:19" hidden="1">
      <c r="A134" s="747">
        <f t="shared" si="16"/>
        <v>9.5899999999999874</v>
      </c>
      <c r="B134" s="725"/>
      <c r="C134" s="733">
        <f t="shared" si="14"/>
        <v>0</v>
      </c>
      <c r="D134" s="733">
        <f t="shared" si="12"/>
        <v>0</v>
      </c>
      <c r="E134" s="733"/>
      <c r="F134" s="733"/>
      <c r="G134" s="733">
        <f t="shared" ref="G134:G174" si="17">ROUND(SUM(C134:F134)/2,0)</f>
        <v>0</v>
      </c>
      <c r="H134" s="733"/>
      <c r="I134" s="733">
        <f t="shared" si="15"/>
        <v>0</v>
      </c>
      <c r="J134" s="733">
        <f t="shared" si="15"/>
        <v>0</v>
      </c>
      <c r="K134" s="733">
        <f t="shared" si="15"/>
        <v>0</v>
      </c>
      <c r="L134" s="733"/>
      <c r="M134" s="725"/>
      <c r="N134" s="725"/>
      <c r="O134" s="725"/>
      <c r="P134" s="733"/>
      <c r="Q134" s="725"/>
      <c r="R134" s="725"/>
      <c r="S134" s="725"/>
    </row>
    <row r="135" spans="1:19" hidden="1">
      <c r="A135" s="747">
        <f t="shared" si="16"/>
        <v>9.5999999999999872</v>
      </c>
      <c r="B135" s="725"/>
      <c r="C135" s="733">
        <f t="shared" si="14"/>
        <v>0</v>
      </c>
      <c r="D135" s="733">
        <f t="shared" si="12"/>
        <v>0</v>
      </c>
      <c r="E135" s="733"/>
      <c r="F135" s="733"/>
      <c r="G135" s="733">
        <f t="shared" si="17"/>
        <v>0</v>
      </c>
      <c r="H135" s="733"/>
      <c r="I135" s="733">
        <f t="shared" si="15"/>
        <v>0</v>
      </c>
      <c r="J135" s="733">
        <f t="shared" si="15"/>
        <v>0</v>
      </c>
      <c r="K135" s="733">
        <f t="shared" si="15"/>
        <v>0</v>
      </c>
      <c r="L135" s="733"/>
      <c r="M135" s="725"/>
      <c r="N135" s="725"/>
      <c r="O135" s="725"/>
      <c r="P135" s="733"/>
      <c r="Q135" s="725"/>
      <c r="R135" s="725"/>
      <c r="S135" s="725"/>
    </row>
    <row r="136" spans="1:19" hidden="1">
      <c r="A136" s="747">
        <f t="shared" si="16"/>
        <v>9.609999999999987</v>
      </c>
      <c r="B136" s="725"/>
      <c r="C136" s="733">
        <f t="shared" si="14"/>
        <v>0</v>
      </c>
      <c r="D136" s="733">
        <f t="shared" si="12"/>
        <v>0</v>
      </c>
      <c r="E136" s="733"/>
      <c r="F136" s="733"/>
      <c r="G136" s="733">
        <f t="shared" si="17"/>
        <v>0</v>
      </c>
      <c r="H136" s="733"/>
      <c r="I136" s="733">
        <f t="shared" si="15"/>
        <v>0</v>
      </c>
      <c r="J136" s="733">
        <f t="shared" si="15"/>
        <v>0</v>
      </c>
      <c r="K136" s="733">
        <f t="shared" si="15"/>
        <v>0</v>
      </c>
      <c r="L136" s="733"/>
      <c r="M136" s="725"/>
      <c r="N136" s="725"/>
      <c r="O136" s="725"/>
      <c r="P136" s="733"/>
      <c r="Q136" s="725"/>
      <c r="R136" s="725"/>
      <c r="S136" s="725"/>
    </row>
    <row r="137" spans="1:19" hidden="1">
      <c r="A137" s="747">
        <f t="shared" si="16"/>
        <v>9.6199999999999868</v>
      </c>
      <c r="B137" s="725"/>
      <c r="C137" s="733">
        <f t="shared" si="14"/>
        <v>0</v>
      </c>
      <c r="D137" s="733">
        <f t="shared" si="12"/>
        <v>0</v>
      </c>
      <c r="E137" s="733"/>
      <c r="F137" s="733"/>
      <c r="G137" s="733">
        <f t="shared" si="17"/>
        <v>0</v>
      </c>
      <c r="H137" s="733"/>
      <c r="I137" s="733">
        <f t="shared" ref="I137:K157" si="18">(M137+Q137)/2</f>
        <v>0</v>
      </c>
      <c r="J137" s="733">
        <f t="shared" si="18"/>
        <v>0</v>
      </c>
      <c r="K137" s="733">
        <f t="shared" si="18"/>
        <v>0</v>
      </c>
      <c r="L137" s="733"/>
      <c r="M137" s="725"/>
      <c r="N137" s="725"/>
      <c r="O137" s="725"/>
      <c r="P137" s="733"/>
      <c r="Q137" s="725"/>
      <c r="R137" s="725"/>
      <c r="S137" s="725"/>
    </row>
    <row r="138" spans="1:19" hidden="1">
      <c r="A138" s="747">
        <f t="shared" si="16"/>
        <v>9.6299999999999866</v>
      </c>
      <c r="B138" s="725"/>
      <c r="C138" s="733">
        <f t="shared" si="14"/>
        <v>0</v>
      </c>
      <c r="D138" s="733">
        <f t="shared" si="12"/>
        <v>0</v>
      </c>
      <c r="E138" s="733"/>
      <c r="F138" s="733"/>
      <c r="G138" s="733">
        <f t="shared" si="17"/>
        <v>0</v>
      </c>
      <c r="H138" s="733"/>
      <c r="I138" s="733">
        <f t="shared" si="18"/>
        <v>0</v>
      </c>
      <c r="J138" s="733">
        <f t="shared" si="18"/>
        <v>0</v>
      </c>
      <c r="K138" s="733">
        <f t="shared" si="18"/>
        <v>0</v>
      </c>
      <c r="L138" s="733"/>
      <c r="M138" s="725"/>
      <c r="N138" s="725"/>
      <c r="O138" s="725"/>
      <c r="P138" s="733"/>
      <c r="Q138" s="725"/>
      <c r="R138" s="725"/>
      <c r="S138" s="725"/>
    </row>
    <row r="139" spans="1:19" hidden="1">
      <c r="A139" s="747">
        <f t="shared" si="16"/>
        <v>9.6399999999999864</v>
      </c>
      <c r="B139" s="725"/>
      <c r="C139" s="737">
        <f t="shared" si="14"/>
        <v>0</v>
      </c>
      <c r="D139" s="737">
        <f t="shared" si="12"/>
        <v>0</v>
      </c>
      <c r="E139" s="737"/>
      <c r="F139" s="737"/>
      <c r="G139" s="737">
        <f t="shared" si="17"/>
        <v>0</v>
      </c>
      <c r="H139" s="737"/>
      <c r="I139" s="737">
        <f t="shared" si="18"/>
        <v>0</v>
      </c>
      <c r="J139" s="737">
        <f t="shared" si="18"/>
        <v>0</v>
      </c>
      <c r="K139" s="737">
        <f t="shared" si="18"/>
        <v>0</v>
      </c>
      <c r="L139" s="737"/>
      <c r="M139" s="725"/>
      <c r="N139" s="725"/>
      <c r="O139" s="725"/>
      <c r="P139" s="737"/>
      <c r="Q139" s="725"/>
      <c r="R139" s="725"/>
      <c r="S139" s="725"/>
    </row>
    <row r="140" spans="1:19" hidden="1">
      <c r="A140" s="747">
        <f>A139+0.01</f>
        <v>9.6499999999999861</v>
      </c>
      <c r="B140" s="725"/>
      <c r="C140" s="733">
        <f t="shared" si="14"/>
        <v>0</v>
      </c>
      <c r="D140" s="733">
        <f t="shared" ref="D140:D168" si="19">SUM(Q140:S140)</f>
        <v>0</v>
      </c>
      <c r="E140" s="733"/>
      <c r="F140" s="733"/>
      <c r="G140" s="733">
        <f t="shared" si="17"/>
        <v>0</v>
      </c>
      <c r="H140" s="733"/>
      <c r="I140" s="733">
        <f t="shared" si="18"/>
        <v>0</v>
      </c>
      <c r="J140" s="733">
        <f t="shared" si="18"/>
        <v>0</v>
      </c>
      <c r="K140" s="733">
        <f t="shared" si="18"/>
        <v>0</v>
      </c>
      <c r="L140" s="733"/>
      <c r="M140" s="725"/>
      <c r="N140" s="725"/>
      <c r="O140" s="725"/>
      <c r="P140" s="733"/>
      <c r="Q140" s="725"/>
      <c r="R140" s="725"/>
      <c r="S140" s="725"/>
    </row>
    <row r="141" spans="1:19" hidden="1">
      <c r="A141" s="747">
        <f t="shared" si="16"/>
        <v>9.6599999999999859</v>
      </c>
      <c r="B141" s="725"/>
      <c r="C141" s="733">
        <f t="shared" ref="C141:C168" si="20">SUM(M141:O141)</f>
        <v>0</v>
      </c>
      <c r="D141" s="733">
        <f t="shared" si="19"/>
        <v>0</v>
      </c>
      <c r="E141" s="733"/>
      <c r="F141" s="733"/>
      <c r="G141" s="733">
        <f t="shared" si="17"/>
        <v>0</v>
      </c>
      <c r="H141" s="733"/>
      <c r="I141" s="733">
        <f t="shared" si="18"/>
        <v>0</v>
      </c>
      <c r="J141" s="733">
        <f t="shared" si="18"/>
        <v>0</v>
      </c>
      <c r="K141" s="733">
        <f t="shared" si="18"/>
        <v>0</v>
      </c>
      <c r="L141" s="733"/>
      <c r="M141" s="725"/>
      <c r="N141" s="725"/>
      <c r="O141" s="725"/>
      <c r="P141" s="733"/>
      <c r="Q141" s="725"/>
      <c r="R141" s="725"/>
      <c r="S141" s="725"/>
    </row>
    <row r="142" spans="1:19" hidden="1">
      <c r="A142" s="747">
        <f t="shared" ref="A142:A174" si="21">A141+0.01</f>
        <v>9.6699999999999857</v>
      </c>
      <c r="B142" s="725"/>
      <c r="C142" s="733">
        <f t="shared" si="20"/>
        <v>0</v>
      </c>
      <c r="D142" s="733">
        <f t="shared" si="19"/>
        <v>0</v>
      </c>
      <c r="E142" s="733"/>
      <c r="F142" s="733"/>
      <c r="G142" s="733">
        <f t="shared" si="17"/>
        <v>0</v>
      </c>
      <c r="H142" s="733"/>
      <c r="I142" s="733">
        <f t="shared" si="18"/>
        <v>0</v>
      </c>
      <c r="J142" s="733">
        <f t="shared" si="18"/>
        <v>0</v>
      </c>
      <c r="K142" s="733">
        <f t="shared" si="18"/>
        <v>0</v>
      </c>
      <c r="L142" s="733"/>
      <c r="M142" s="725"/>
      <c r="N142" s="725"/>
      <c r="O142" s="725"/>
      <c r="P142" s="733"/>
      <c r="Q142" s="725"/>
      <c r="R142" s="725"/>
      <c r="S142" s="725"/>
    </row>
    <row r="143" spans="1:19" hidden="1">
      <c r="A143" s="747">
        <f t="shared" si="21"/>
        <v>9.6799999999999855</v>
      </c>
      <c r="B143" s="725"/>
      <c r="C143" s="733">
        <f t="shared" si="20"/>
        <v>0</v>
      </c>
      <c r="D143" s="733">
        <f t="shared" si="19"/>
        <v>0</v>
      </c>
      <c r="E143" s="733"/>
      <c r="F143" s="733"/>
      <c r="G143" s="733">
        <f t="shared" si="17"/>
        <v>0</v>
      </c>
      <c r="H143" s="733"/>
      <c r="I143" s="733">
        <f t="shared" si="18"/>
        <v>0</v>
      </c>
      <c r="J143" s="733">
        <f t="shared" si="18"/>
        <v>0</v>
      </c>
      <c r="K143" s="733">
        <f t="shared" si="18"/>
        <v>0</v>
      </c>
      <c r="L143" s="733"/>
      <c r="M143" s="725"/>
      <c r="N143" s="725"/>
      <c r="O143" s="725"/>
      <c r="P143" s="733"/>
      <c r="Q143" s="725"/>
      <c r="R143" s="725"/>
      <c r="S143" s="725"/>
    </row>
    <row r="144" spans="1:19" hidden="1">
      <c r="A144" s="747">
        <f t="shared" si="21"/>
        <v>9.6899999999999853</v>
      </c>
      <c r="B144" s="725"/>
      <c r="C144" s="733">
        <f t="shared" si="20"/>
        <v>0</v>
      </c>
      <c r="D144" s="733">
        <f t="shared" si="19"/>
        <v>0</v>
      </c>
      <c r="E144" s="733"/>
      <c r="F144" s="733"/>
      <c r="G144" s="733">
        <f t="shared" si="17"/>
        <v>0</v>
      </c>
      <c r="H144" s="733"/>
      <c r="I144" s="733">
        <f t="shared" si="18"/>
        <v>0</v>
      </c>
      <c r="J144" s="733">
        <f t="shared" si="18"/>
        <v>0</v>
      </c>
      <c r="K144" s="733">
        <f t="shared" si="18"/>
        <v>0</v>
      </c>
      <c r="L144" s="733"/>
      <c r="M144" s="725"/>
      <c r="N144" s="725"/>
      <c r="O144" s="725"/>
      <c r="P144" s="733"/>
      <c r="Q144" s="725"/>
      <c r="R144" s="725"/>
      <c r="S144" s="725"/>
    </row>
    <row r="145" spans="1:19" hidden="1">
      <c r="A145" s="747">
        <f t="shared" si="21"/>
        <v>9.6999999999999851</v>
      </c>
      <c r="B145" s="725"/>
      <c r="C145" s="733">
        <f>SUM(M145:O145)</f>
        <v>0</v>
      </c>
      <c r="D145" s="733">
        <f t="shared" si="19"/>
        <v>0</v>
      </c>
      <c r="E145" s="733"/>
      <c r="F145" s="733"/>
      <c r="G145" s="733">
        <f t="shared" si="17"/>
        <v>0</v>
      </c>
      <c r="H145" s="733"/>
      <c r="I145" s="733">
        <f t="shared" si="18"/>
        <v>0</v>
      </c>
      <c r="J145" s="733">
        <f t="shared" si="18"/>
        <v>0</v>
      </c>
      <c r="K145" s="733">
        <f t="shared" si="18"/>
        <v>0</v>
      </c>
      <c r="L145" s="733"/>
      <c r="M145" s="725"/>
      <c r="N145" s="725"/>
      <c r="O145" s="725"/>
      <c r="P145" s="733"/>
      <c r="Q145" s="725"/>
      <c r="R145" s="725"/>
      <c r="S145" s="725"/>
    </row>
    <row r="146" spans="1:19" hidden="1">
      <c r="A146" s="747">
        <f t="shared" si="21"/>
        <v>9.7099999999999849</v>
      </c>
      <c r="B146" s="725"/>
      <c r="C146" s="733">
        <f t="shared" si="20"/>
        <v>0</v>
      </c>
      <c r="D146" s="733">
        <f t="shared" si="19"/>
        <v>0</v>
      </c>
      <c r="E146" s="733"/>
      <c r="F146" s="733"/>
      <c r="G146" s="733">
        <f t="shared" si="17"/>
        <v>0</v>
      </c>
      <c r="H146" s="733"/>
      <c r="I146" s="733">
        <f t="shared" si="18"/>
        <v>0</v>
      </c>
      <c r="J146" s="733">
        <f t="shared" si="18"/>
        <v>0</v>
      </c>
      <c r="K146" s="733">
        <f t="shared" si="18"/>
        <v>0</v>
      </c>
      <c r="L146" s="733"/>
      <c r="M146" s="725"/>
      <c r="N146" s="725"/>
      <c r="O146" s="725"/>
      <c r="P146" s="733"/>
      <c r="Q146" s="725"/>
      <c r="R146" s="725"/>
      <c r="S146" s="725"/>
    </row>
    <row r="147" spans="1:19" hidden="1">
      <c r="A147" s="747">
        <f t="shared" si="21"/>
        <v>9.7199999999999847</v>
      </c>
      <c r="B147" s="725"/>
      <c r="C147" s="733">
        <f>SUM(M147:O147)</f>
        <v>0</v>
      </c>
      <c r="D147" s="733">
        <f t="shared" si="19"/>
        <v>0</v>
      </c>
      <c r="E147" s="733"/>
      <c r="F147" s="733"/>
      <c r="G147" s="733">
        <f t="shared" si="17"/>
        <v>0</v>
      </c>
      <c r="H147" s="733"/>
      <c r="I147" s="733">
        <f t="shared" si="18"/>
        <v>0</v>
      </c>
      <c r="J147" s="733">
        <f t="shared" si="18"/>
        <v>0</v>
      </c>
      <c r="K147" s="733">
        <f t="shared" si="18"/>
        <v>0</v>
      </c>
      <c r="L147" s="733"/>
      <c r="M147" s="725"/>
      <c r="N147" s="725"/>
      <c r="O147" s="725"/>
      <c r="P147" s="733"/>
      <c r="Q147" s="725"/>
      <c r="R147" s="725"/>
      <c r="S147" s="725"/>
    </row>
    <row r="148" spans="1:19" hidden="1">
      <c r="A148" s="747">
        <f t="shared" si="21"/>
        <v>9.7299999999999844</v>
      </c>
      <c r="B148" s="725"/>
      <c r="C148" s="733">
        <f>SUM(M148:O148)</f>
        <v>0</v>
      </c>
      <c r="D148" s="733">
        <f t="shared" si="19"/>
        <v>0</v>
      </c>
      <c r="E148" s="733"/>
      <c r="F148" s="733"/>
      <c r="G148" s="733">
        <f t="shared" si="17"/>
        <v>0</v>
      </c>
      <c r="H148" s="733"/>
      <c r="I148" s="733">
        <f t="shared" si="18"/>
        <v>0</v>
      </c>
      <c r="J148" s="733">
        <f t="shared" si="18"/>
        <v>0</v>
      </c>
      <c r="K148" s="733">
        <f t="shared" si="18"/>
        <v>0</v>
      </c>
      <c r="L148" s="733"/>
      <c r="M148" s="725"/>
      <c r="N148" s="725"/>
      <c r="O148" s="725"/>
      <c r="P148" s="733"/>
      <c r="Q148" s="725"/>
      <c r="R148" s="725"/>
      <c r="S148" s="725"/>
    </row>
    <row r="149" spans="1:19" hidden="1">
      <c r="A149" s="747">
        <f t="shared" si="21"/>
        <v>9.7399999999999842</v>
      </c>
      <c r="B149" s="725"/>
      <c r="C149" s="733">
        <f>SUM(M149:O149)</f>
        <v>0</v>
      </c>
      <c r="D149" s="733">
        <f t="shared" si="19"/>
        <v>0</v>
      </c>
      <c r="E149" s="733"/>
      <c r="F149" s="733"/>
      <c r="G149" s="733">
        <f t="shared" si="17"/>
        <v>0</v>
      </c>
      <c r="H149" s="733"/>
      <c r="I149" s="733">
        <f t="shared" si="18"/>
        <v>0</v>
      </c>
      <c r="J149" s="733">
        <f t="shared" si="18"/>
        <v>0</v>
      </c>
      <c r="K149" s="733">
        <f t="shared" si="18"/>
        <v>0</v>
      </c>
      <c r="L149" s="733"/>
      <c r="M149" s="725"/>
      <c r="N149" s="725"/>
      <c r="O149" s="725"/>
      <c r="P149" s="733"/>
      <c r="Q149" s="725"/>
      <c r="R149" s="725"/>
      <c r="S149" s="725"/>
    </row>
    <row r="150" spans="1:19" hidden="1">
      <c r="A150" s="747">
        <f t="shared" si="21"/>
        <v>9.749999999999984</v>
      </c>
      <c r="B150" s="725"/>
      <c r="C150" s="733">
        <f>SUM(M150:O150)</f>
        <v>0</v>
      </c>
      <c r="D150" s="733">
        <f t="shared" si="19"/>
        <v>0</v>
      </c>
      <c r="E150" s="733"/>
      <c r="F150" s="733"/>
      <c r="G150" s="733">
        <f t="shared" si="17"/>
        <v>0</v>
      </c>
      <c r="H150" s="733"/>
      <c r="I150" s="733">
        <f t="shared" si="18"/>
        <v>0</v>
      </c>
      <c r="J150" s="733">
        <f t="shared" si="18"/>
        <v>0</v>
      </c>
      <c r="K150" s="733">
        <f t="shared" si="18"/>
        <v>0</v>
      </c>
      <c r="L150" s="733"/>
      <c r="M150" s="725"/>
      <c r="N150" s="725"/>
      <c r="O150" s="725"/>
      <c r="P150" s="733"/>
      <c r="Q150" s="725"/>
      <c r="R150" s="725"/>
      <c r="S150" s="725"/>
    </row>
    <row r="151" spans="1:19" hidden="1">
      <c r="A151" s="747">
        <f t="shared" si="21"/>
        <v>9.7599999999999838</v>
      </c>
      <c r="B151" s="725"/>
      <c r="C151" s="733">
        <f t="shared" si="20"/>
        <v>0</v>
      </c>
      <c r="D151" s="733">
        <f t="shared" si="19"/>
        <v>0</v>
      </c>
      <c r="E151" s="733"/>
      <c r="F151" s="733"/>
      <c r="G151" s="733">
        <f t="shared" si="17"/>
        <v>0</v>
      </c>
      <c r="H151" s="733"/>
      <c r="I151" s="733">
        <f t="shared" si="18"/>
        <v>0</v>
      </c>
      <c r="J151" s="733">
        <f t="shared" si="18"/>
        <v>0</v>
      </c>
      <c r="K151" s="733">
        <f t="shared" si="18"/>
        <v>0</v>
      </c>
      <c r="L151" s="733"/>
      <c r="M151" s="725"/>
      <c r="N151" s="725"/>
      <c r="O151" s="725"/>
      <c r="P151" s="733"/>
      <c r="Q151" s="725"/>
      <c r="R151" s="725"/>
      <c r="S151" s="725"/>
    </row>
    <row r="152" spans="1:19" hidden="1">
      <c r="A152" s="747">
        <f t="shared" si="21"/>
        <v>9.7699999999999836</v>
      </c>
      <c r="B152" s="725"/>
      <c r="C152" s="733">
        <f t="shared" si="20"/>
        <v>0</v>
      </c>
      <c r="D152" s="733">
        <f t="shared" si="19"/>
        <v>0</v>
      </c>
      <c r="E152" s="733"/>
      <c r="F152" s="733"/>
      <c r="G152" s="733">
        <f t="shared" si="17"/>
        <v>0</v>
      </c>
      <c r="H152" s="733"/>
      <c r="I152" s="733">
        <f t="shared" si="18"/>
        <v>0</v>
      </c>
      <c r="J152" s="733">
        <f t="shared" si="18"/>
        <v>0</v>
      </c>
      <c r="K152" s="733">
        <f t="shared" si="18"/>
        <v>0</v>
      </c>
      <c r="L152" s="733"/>
      <c r="M152" s="725"/>
      <c r="N152" s="725"/>
      <c r="O152" s="725"/>
      <c r="P152" s="733"/>
      <c r="Q152" s="725"/>
      <c r="R152" s="725"/>
      <c r="S152" s="725"/>
    </row>
    <row r="153" spans="1:19" hidden="1">
      <c r="A153" s="747">
        <f t="shared" si="21"/>
        <v>9.7799999999999834</v>
      </c>
      <c r="B153" s="725"/>
      <c r="C153" s="733">
        <f t="shared" si="20"/>
        <v>0</v>
      </c>
      <c r="D153" s="733">
        <f t="shared" si="19"/>
        <v>0</v>
      </c>
      <c r="E153" s="733"/>
      <c r="F153" s="733"/>
      <c r="G153" s="733">
        <f t="shared" si="17"/>
        <v>0</v>
      </c>
      <c r="H153" s="733"/>
      <c r="I153" s="733">
        <f t="shared" si="18"/>
        <v>0</v>
      </c>
      <c r="J153" s="733">
        <f t="shared" si="18"/>
        <v>0</v>
      </c>
      <c r="K153" s="733">
        <f t="shared" si="18"/>
        <v>0</v>
      </c>
      <c r="L153" s="733"/>
      <c r="M153" s="725"/>
      <c r="N153" s="725"/>
      <c r="O153" s="725"/>
      <c r="P153" s="733"/>
      <c r="Q153" s="725"/>
      <c r="R153" s="725"/>
      <c r="S153" s="725"/>
    </row>
    <row r="154" spans="1:19" hidden="1">
      <c r="A154" s="747">
        <f t="shared" si="21"/>
        <v>9.7899999999999832</v>
      </c>
      <c r="B154" s="725"/>
      <c r="C154" s="733">
        <f t="shared" si="20"/>
        <v>0</v>
      </c>
      <c r="D154" s="733">
        <f t="shared" si="19"/>
        <v>0</v>
      </c>
      <c r="E154" s="733"/>
      <c r="F154" s="733"/>
      <c r="G154" s="733">
        <f t="shared" si="17"/>
        <v>0</v>
      </c>
      <c r="H154" s="733"/>
      <c r="I154" s="733">
        <f t="shared" si="18"/>
        <v>0</v>
      </c>
      <c r="J154" s="733">
        <f t="shared" si="18"/>
        <v>0</v>
      </c>
      <c r="K154" s="733">
        <f t="shared" si="18"/>
        <v>0</v>
      </c>
      <c r="L154" s="733"/>
      <c r="M154" s="725"/>
      <c r="N154" s="725"/>
      <c r="O154" s="725"/>
      <c r="P154" s="733"/>
      <c r="Q154" s="725"/>
      <c r="R154" s="725"/>
      <c r="S154" s="725"/>
    </row>
    <row r="155" spans="1:19" hidden="1">
      <c r="A155" s="747">
        <f t="shared" si="21"/>
        <v>9.7999999999999829</v>
      </c>
      <c r="B155" s="725"/>
      <c r="C155" s="733">
        <f t="shared" si="20"/>
        <v>0</v>
      </c>
      <c r="D155" s="733">
        <f t="shared" si="19"/>
        <v>0</v>
      </c>
      <c r="E155" s="733"/>
      <c r="F155" s="733"/>
      <c r="G155" s="733">
        <f t="shared" si="17"/>
        <v>0</v>
      </c>
      <c r="H155" s="733"/>
      <c r="I155" s="733">
        <f t="shared" si="18"/>
        <v>0</v>
      </c>
      <c r="J155" s="733">
        <f t="shared" si="18"/>
        <v>0</v>
      </c>
      <c r="K155" s="733">
        <f t="shared" si="18"/>
        <v>0</v>
      </c>
      <c r="L155" s="733"/>
      <c r="M155" s="725"/>
      <c r="N155" s="725"/>
      <c r="O155" s="725"/>
      <c r="P155" s="733"/>
      <c r="Q155" s="725"/>
      <c r="R155" s="725"/>
      <c r="S155" s="725"/>
    </row>
    <row r="156" spans="1:19" hidden="1">
      <c r="A156" s="747">
        <f t="shared" si="21"/>
        <v>9.8099999999999827</v>
      </c>
      <c r="B156" s="725"/>
      <c r="C156" s="733">
        <f t="shared" si="20"/>
        <v>0</v>
      </c>
      <c r="D156" s="733">
        <f t="shared" si="19"/>
        <v>0</v>
      </c>
      <c r="E156" s="733"/>
      <c r="F156" s="733"/>
      <c r="G156" s="733">
        <f t="shared" si="17"/>
        <v>0</v>
      </c>
      <c r="H156" s="733"/>
      <c r="I156" s="733">
        <f t="shared" si="18"/>
        <v>0</v>
      </c>
      <c r="J156" s="733">
        <f t="shared" si="18"/>
        <v>0</v>
      </c>
      <c r="K156" s="733">
        <f t="shared" si="18"/>
        <v>0</v>
      </c>
      <c r="L156" s="733"/>
      <c r="M156" s="725"/>
      <c r="N156" s="725"/>
      <c r="O156" s="725"/>
      <c r="P156" s="733"/>
      <c r="Q156" s="725"/>
      <c r="R156" s="725"/>
      <c r="S156" s="725"/>
    </row>
    <row r="157" spans="1:19" hidden="1">
      <c r="A157" s="747">
        <f t="shared" si="21"/>
        <v>9.8199999999999825</v>
      </c>
      <c r="B157" s="725"/>
      <c r="C157" s="733">
        <f t="shared" si="20"/>
        <v>0</v>
      </c>
      <c r="D157" s="733">
        <f t="shared" si="19"/>
        <v>0</v>
      </c>
      <c r="E157" s="733"/>
      <c r="F157" s="733"/>
      <c r="G157" s="733">
        <f t="shared" si="17"/>
        <v>0</v>
      </c>
      <c r="H157" s="733"/>
      <c r="I157" s="733">
        <f t="shared" si="18"/>
        <v>0</v>
      </c>
      <c r="J157" s="733">
        <f t="shared" si="18"/>
        <v>0</v>
      </c>
      <c r="K157" s="733">
        <f t="shared" si="18"/>
        <v>0</v>
      </c>
      <c r="L157" s="733"/>
      <c r="M157" s="725"/>
      <c r="N157" s="725"/>
      <c r="O157" s="725"/>
      <c r="P157" s="733"/>
      <c r="Q157" s="725"/>
      <c r="R157" s="725"/>
      <c r="S157" s="725"/>
    </row>
    <row r="158" spans="1:19" hidden="1">
      <c r="A158" s="747">
        <f t="shared" si="21"/>
        <v>9.8299999999999823</v>
      </c>
      <c r="B158" s="725"/>
      <c r="C158" s="733">
        <f>SUM(M158:O158)</f>
        <v>0</v>
      </c>
      <c r="D158" s="733">
        <f t="shared" si="19"/>
        <v>0</v>
      </c>
      <c r="E158" s="733"/>
      <c r="F158" s="733"/>
      <c r="G158" s="733">
        <f t="shared" si="17"/>
        <v>0</v>
      </c>
      <c r="H158" s="733"/>
      <c r="I158" s="733">
        <f t="shared" ref="I158:K168" si="22">(M158+Q158)/2</f>
        <v>0</v>
      </c>
      <c r="J158" s="733">
        <f t="shared" si="22"/>
        <v>0</v>
      </c>
      <c r="K158" s="733">
        <f t="shared" si="22"/>
        <v>0</v>
      </c>
      <c r="L158" s="733"/>
      <c r="M158" s="725"/>
      <c r="N158" s="725"/>
      <c r="O158" s="725"/>
      <c r="P158" s="733"/>
      <c r="Q158" s="725"/>
      <c r="R158" s="725"/>
      <c r="S158" s="725"/>
    </row>
    <row r="159" spans="1:19" hidden="1">
      <c r="A159" s="747">
        <f t="shared" si="21"/>
        <v>9.8399999999999821</v>
      </c>
      <c r="B159" s="725"/>
      <c r="C159" s="733">
        <f>SUM(M159:O159)</f>
        <v>0</v>
      </c>
      <c r="D159" s="733">
        <f t="shared" si="19"/>
        <v>0</v>
      </c>
      <c r="E159" s="733"/>
      <c r="F159" s="733"/>
      <c r="G159" s="733">
        <f t="shared" si="17"/>
        <v>0</v>
      </c>
      <c r="H159" s="733"/>
      <c r="I159" s="733">
        <f t="shared" si="22"/>
        <v>0</v>
      </c>
      <c r="J159" s="733">
        <f t="shared" si="22"/>
        <v>0</v>
      </c>
      <c r="K159" s="733">
        <f t="shared" si="22"/>
        <v>0</v>
      </c>
      <c r="L159" s="733"/>
      <c r="M159" s="725"/>
      <c r="N159" s="725"/>
      <c r="O159" s="725"/>
      <c r="P159" s="733"/>
      <c r="Q159" s="725"/>
      <c r="R159" s="725"/>
      <c r="S159" s="725"/>
    </row>
    <row r="160" spans="1:19" hidden="1">
      <c r="A160" s="747">
        <f t="shared" si="21"/>
        <v>9.8499999999999819</v>
      </c>
      <c r="B160" s="725"/>
      <c r="C160" s="733">
        <f>SUM(M160:O160)</f>
        <v>0</v>
      </c>
      <c r="D160" s="733">
        <f t="shared" si="19"/>
        <v>0</v>
      </c>
      <c r="E160" s="733"/>
      <c r="F160" s="733"/>
      <c r="G160" s="733">
        <f t="shared" si="17"/>
        <v>0</v>
      </c>
      <c r="H160" s="733"/>
      <c r="I160" s="733">
        <f t="shared" si="22"/>
        <v>0</v>
      </c>
      <c r="J160" s="733">
        <f t="shared" si="22"/>
        <v>0</v>
      </c>
      <c r="K160" s="733">
        <f t="shared" si="22"/>
        <v>0</v>
      </c>
      <c r="L160" s="733"/>
      <c r="M160" s="725"/>
      <c r="N160" s="725"/>
      <c r="O160" s="725"/>
      <c r="P160" s="733"/>
      <c r="Q160" s="725"/>
      <c r="R160" s="725"/>
      <c r="S160" s="725"/>
    </row>
    <row r="161" spans="1:19" hidden="1">
      <c r="A161" s="747">
        <f t="shared" si="21"/>
        <v>9.8599999999999817</v>
      </c>
      <c r="B161" s="725"/>
      <c r="C161" s="733">
        <f>SUM(M161:O161)</f>
        <v>0</v>
      </c>
      <c r="D161" s="733">
        <f t="shared" si="19"/>
        <v>0</v>
      </c>
      <c r="E161" s="733"/>
      <c r="F161" s="733"/>
      <c r="G161" s="733">
        <f t="shared" si="17"/>
        <v>0</v>
      </c>
      <c r="H161" s="733"/>
      <c r="I161" s="733">
        <f t="shared" si="22"/>
        <v>0</v>
      </c>
      <c r="J161" s="733">
        <f t="shared" si="22"/>
        <v>0</v>
      </c>
      <c r="K161" s="733">
        <f t="shared" si="22"/>
        <v>0</v>
      </c>
      <c r="L161" s="733"/>
      <c r="M161" s="725"/>
      <c r="N161" s="725"/>
      <c r="O161" s="725"/>
      <c r="P161" s="733"/>
      <c r="Q161" s="725"/>
      <c r="R161" s="725"/>
      <c r="S161" s="725"/>
    </row>
    <row r="162" spans="1:19" hidden="1">
      <c r="A162" s="747">
        <f t="shared" si="21"/>
        <v>9.8699999999999815</v>
      </c>
      <c r="B162" s="725"/>
      <c r="C162" s="733">
        <f t="shared" si="20"/>
        <v>0</v>
      </c>
      <c r="D162" s="733">
        <f t="shared" si="19"/>
        <v>0</v>
      </c>
      <c r="E162" s="733"/>
      <c r="F162" s="733"/>
      <c r="G162" s="733">
        <f t="shared" si="17"/>
        <v>0</v>
      </c>
      <c r="H162" s="733"/>
      <c r="I162" s="733">
        <f t="shared" si="22"/>
        <v>0</v>
      </c>
      <c r="J162" s="733">
        <f t="shared" si="22"/>
        <v>0</v>
      </c>
      <c r="K162" s="733">
        <f t="shared" si="22"/>
        <v>0</v>
      </c>
      <c r="L162" s="733"/>
      <c r="M162" s="725"/>
      <c r="N162" s="725"/>
      <c r="O162" s="725"/>
      <c r="P162" s="733"/>
      <c r="Q162" s="725"/>
      <c r="R162" s="725"/>
      <c r="S162" s="725"/>
    </row>
    <row r="163" spans="1:19" hidden="1">
      <c r="A163" s="747">
        <f t="shared" si="21"/>
        <v>9.8799999999999812</v>
      </c>
      <c r="B163" s="725"/>
      <c r="C163" s="733">
        <f t="shared" si="20"/>
        <v>0</v>
      </c>
      <c r="D163" s="733">
        <f t="shared" si="19"/>
        <v>0</v>
      </c>
      <c r="E163" s="733"/>
      <c r="F163" s="733"/>
      <c r="G163" s="733">
        <f t="shared" si="17"/>
        <v>0</v>
      </c>
      <c r="H163" s="733"/>
      <c r="I163" s="733">
        <f t="shared" si="22"/>
        <v>0</v>
      </c>
      <c r="J163" s="733">
        <f t="shared" si="22"/>
        <v>0</v>
      </c>
      <c r="K163" s="733">
        <f t="shared" si="22"/>
        <v>0</v>
      </c>
      <c r="L163" s="733"/>
      <c r="M163" s="725"/>
      <c r="N163" s="725"/>
      <c r="O163" s="725"/>
      <c r="P163" s="733"/>
      <c r="Q163" s="725"/>
      <c r="R163" s="725"/>
      <c r="S163" s="725"/>
    </row>
    <row r="164" spans="1:19" hidden="1">
      <c r="A164" s="747">
        <f t="shared" si="21"/>
        <v>9.889999999999981</v>
      </c>
      <c r="B164" s="725"/>
      <c r="C164" s="733">
        <f t="shared" si="20"/>
        <v>0</v>
      </c>
      <c r="D164" s="733">
        <f t="shared" si="19"/>
        <v>0</v>
      </c>
      <c r="E164" s="733"/>
      <c r="F164" s="733"/>
      <c r="G164" s="733">
        <f t="shared" si="17"/>
        <v>0</v>
      </c>
      <c r="H164" s="733"/>
      <c r="I164" s="733">
        <f t="shared" si="22"/>
        <v>0</v>
      </c>
      <c r="J164" s="733">
        <f t="shared" si="22"/>
        <v>0</v>
      </c>
      <c r="K164" s="733">
        <f t="shared" si="22"/>
        <v>0</v>
      </c>
      <c r="L164" s="733"/>
      <c r="M164" s="725"/>
      <c r="N164" s="725"/>
      <c r="O164" s="725"/>
      <c r="P164" s="733"/>
      <c r="Q164" s="725"/>
      <c r="R164" s="725"/>
      <c r="S164" s="725"/>
    </row>
    <row r="165" spans="1:19" hidden="1">
      <c r="A165" s="747">
        <f t="shared" si="21"/>
        <v>9.8999999999999808</v>
      </c>
      <c r="B165" s="725"/>
      <c r="C165" s="733">
        <f t="shared" si="20"/>
        <v>0</v>
      </c>
      <c r="D165" s="733">
        <f t="shared" si="19"/>
        <v>0</v>
      </c>
      <c r="E165" s="733"/>
      <c r="F165" s="733"/>
      <c r="G165" s="733">
        <f t="shared" si="17"/>
        <v>0</v>
      </c>
      <c r="H165" s="733"/>
      <c r="I165" s="733">
        <f t="shared" si="22"/>
        <v>0</v>
      </c>
      <c r="J165" s="733">
        <f t="shared" si="22"/>
        <v>0</v>
      </c>
      <c r="K165" s="733">
        <f t="shared" si="22"/>
        <v>0</v>
      </c>
      <c r="L165" s="733"/>
      <c r="M165" s="725"/>
      <c r="N165" s="725"/>
      <c r="O165" s="725"/>
      <c r="P165" s="733"/>
      <c r="Q165" s="725"/>
      <c r="R165" s="725"/>
      <c r="S165" s="725"/>
    </row>
    <row r="166" spans="1:19" hidden="1">
      <c r="A166" s="747">
        <f t="shared" si="21"/>
        <v>9.9099999999999806</v>
      </c>
      <c r="B166" s="725"/>
      <c r="C166" s="733">
        <f t="shared" si="20"/>
        <v>0</v>
      </c>
      <c r="D166" s="733">
        <f t="shared" si="19"/>
        <v>0</v>
      </c>
      <c r="E166" s="733"/>
      <c r="F166" s="733"/>
      <c r="G166" s="733">
        <f>ROUND(SUM(C166:F166)/2,0)</f>
        <v>0</v>
      </c>
      <c r="H166" s="733"/>
      <c r="I166" s="733">
        <f t="shared" si="22"/>
        <v>0</v>
      </c>
      <c r="J166" s="733">
        <f t="shared" si="22"/>
        <v>0</v>
      </c>
      <c r="K166" s="733">
        <f t="shared" si="22"/>
        <v>0</v>
      </c>
      <c r="L166" s="733"/>
      <c r="M166" s="725"/>
      <c r="N166" s="725"/>
      <c r="O166" s="725"/>
      <c r="P166" s="733"/>
      <c r="Q166" s="725"/>
      <c r="R166" s="725"/>
      <c r="S166" s="725"/>
    </row>
    <row r="167" spans="1:19" hidden="1">
      <c r="A167" s="747">
        <f t="shared" si="21"/>
        <v>9.9199999999999804</v>
      </c>
      <c r="B167" s="725"/>
      <c r="C167" s="733">
        <f t="shared" si="20"/>
        <v>0</v>
      </c>
      <c r="D167" s="733">
        <f t="shared" si="19"/>
        <v>0</v>
      </c>
      <c r="E167" s="733"/>
      <c r="F167" s="733"/>
      <c r="G167" s="733">
        <f t="shared" si="17"/>
        <v>0</v>
      </c>
      <c r="H167" s="733"/>
      <c r="I167" s="733">
        <f t="shared" si="22"/>
        <v>0</v>
      </c>
      <c r="J167" s="733">
        <f t="shared" si="22"/>
        <v>0</v>
      </c>
      <c r="K167" s="733">
        <f t="shared" si="22"/>
        <v>0</v>
      </c>
      <c r="L167" s="733"/>
      <c r="M167" s="725"/>
      <c r="N167" s="725"/>
      <c r="O167" s="725"/>
      <c r="P167" s="733"/>
      <c r="Q167" s="725"/>
      <c r="R167" s="725"/>
      <c r="S167" s="725"/>
    </row>
    <row r="168" spans="1:19" hidden="1">
      <c r="A168" s="747">
        <f t="shared" si="21"/>
        <v>9.9299999999999802</v>
      </c>
      <c r="B168" s="725"/>
      <c r="C168" s="733">
        <f t="shared" si="20"/>
        <v>0</v>
      </c>
      <c r="D168" s="733">
        <f t="shared" si="19"/>
        <v>0</v>
      </c>
      <c r="E168" s="733"/>
      <c r="F168" s="733"/>
      <c r="G168" s="733">
        <f t="shared" si="17"/>
        <v>0</v>
      </c>
      <c r="H168" s="733"/>
      <c r="I168" s="733">
        <f t="shared" si="22"/>
        <v>0</v>
      </c>
      <c r="J168" s="733">
        <f t="shared" si="22"/>
        <v>0</v>
      </c>
      <c r="K168" s="733">
        <f t="shared" si="22"/>
        <v>0</v>
      </c>
      <c r="L168" s="733"/>
      <c r="M168" s="725"/>
      <c r="N168" s="725"/>
      <c r="O168" s="725"/>
      <c r="P168" s="733"/>
      <c r="Q168" s="725"/>
      <c r="R168" s="725"/>
      <c r="S168" s="725"/>
    </row>
    <row r="169" spans="1:19">
      <c r="A169" s="747">
        <f t="shared" si="21"/>
        <v>9.93999999999998</v>
      </c>
      <c r="B169" s="725"/>
      <c r="C169" s="725"/>
      <c r="D169" s="725"/>
      <c r="E169" s="733">
        <f t="shared" ref="E169:F174" si="23">-C169</f>
        <v>0</v>
      </c>
      <c r="F169" s="733">
        <f t="shared" si="23"/>
        <v>0</v>
      </c>
      <c r="G169" s="733">
        <f t="shared" si="17"/>
        <v>0</v>
      </c>
      <c r="H169" s="733"/>
      <c r="I169" s="733"/>
      <c r="J169" s="733"/>
      <c r="K169" s="733"/>
      <c r="L169" s="733"/>
      <c r="M169" s="733"/>
      <c r="N169" s="733"/>
      <c r="O169" s="733"/>
      <c r="P169" s="733"/>
      <c r="Q169" s="733"/>
      <c r="R169" s="733"/>
      <c r="S169" s="733"/>
    </row>
    <row r="170" spans="1:19">
      <c r="A170" s="747">
        <f t="shared" si="21"/>
        <v>9.9499999999999797</v>
      </c>
      <c r="B170" s="725"/>
      <c r="C170" s="725"/>
      <c r="D170" s="725"/>
      <c r="E170" s="733">
        <f t="shared" si="23"/>
        <v>0</v>
      </c>
      <c r="F170" s="733">
        <f t="shared" si="23"/>
        <v>0</v>
      </c>
      <c r="G170" s="733">
        <f t="shared" si="17"/>
        <v>0</v>
      </c>
      <c r="H170" s="733"/>
      <c r="I170" s="733"/>
      <c r="J170" s="733"/>
      <c r="K170" s="733"/>
      <c r="L170" s="733"/>
      <c r="M170" s="733"/>
      <c r="N170" s="733"/>
      <c r="O170" s="733"/>
      <c r="P170" s="733"/>
      <c r="Q170" s="733"/>
      <c r="R170" s="733"/>
      <c r="S170" s="733"/>
    </row>
    <row r="171" spans="1:19">
      <c r="A171" s="747">
        <f t="shared" si="21"/>
        <v>9.9599999999999795</v>
      </c>
      <c r="B171" s="725"/>
      <c r="C171" s="725"/>
      <c r="D171" s="725"/>
      <c r="E171" s="733">
        <f t="shared" si="23"/>
        <v>0</v>
      </c>
      <c r="F171" s="733">
        <f t="shared" si="23"/>
        <v>0</v>
      </c>
      <c r="G171" s="733">
        <f t="shared" si="17"/>
        <v>0</v>
      </c>
      <c r="H171" s="733"/>
      <c r="I171" s="733"/>
      <c r="J171" s="733"/>
      <c r="K171" s="733"/>
      <c r="L171" s="733"/>
      <c r="M171" s="733"/>
      <c r="N171" s="733"/>
      <c r="O171" s="733"/>
      <c r="P171" s="733"/>
      <c r="Q171" s="733"/>
      <c r="R171" s="733"/>
      <c r="S171" s="733"/>
    </row>
    <row r="172" spans="1:19">
      <c r="A172" s="747">
        <f t="shared" si="21"/>
        <v>9.9699999999999793</v>
      </c>
      <c r="B172" s="725"/>
      <c r="C172" s="725"/>
      <c r="D172" s="725"/>
      <c r="E172" s="733">
        <f>-C172</f>
        <v>0</v>
      </c>
      <c r="F172" s="733">
        <f>-D172</f>
        <v>0</v>
      </c>
      <c r="G172" s="733">
        <f t="shared" si="17"/>
        <v>0</v>
      </c>
      <c r="H172" s="733"/>
      <c r="I172" s="733"/>
      <c r="J172" s="733"/>
      <c r="K172" s="733"/>
      <c r="L172" s="733"/>
      <c r="M172" s="733"/>
      <c r="N172" s="733"/>
      <c r="O172" s="733"/>
      <c r="P172" s="733"/>
      <c r="Q172" s="733"/>
      <c r="R172" s="733"/>
      <c r="S172" s="733"/>
    </row>
    <row r="173" spans="1:19">
      <c r="A173" s="747">
        <f t="shared" si="21"/>
        <v>9.9799999999999791</v>
      </c>
      <c r="B173" s="725"/>
      <c r="C173" s="725"/>
      <c r="D173" s="725"/>
      <c r="E173" s="733">
        <f>-C173</f>
        <v>0</v>
      </c>
      <c r="F173" s="733">
        <f>-D173</f>
        <v>0</v>
      </c>
      <c r="G173" s="733">
        <f t="shared" si="17"/>
        <v>0</v>
      </c>
      <c r="H173" s="733"/>
      <c r="I173" s="733"/>
      <c r="J173" s="733"/>
      <c r="K173" s="733"/>
      <c r="L173" s="733"/>
      <c r="M173" s="733"/>
      <c r="N173" s="733"/>
      <c r="O173" s="733"/>
      <c r="P173" s="733"/>
      <c r="Q173" s="733"/>
      <c r="R173" s="733"/>
      <c r="S173" s="733"/>
    </row>
    <row r="174" spans="1:19">
      <c r="A174" s="747">
        <f t="shared" si="21"/>
        <v>9.9899999999999789</v>
      </c>
      <c r="B174" s="725"/>
      <c r="C174" s="725"/>
      <c r="D174" s="725"/>
      <c r="E174" s="733">
        <f t="shared" si="23"/>
        <v>0</v>
      </c>
      <c r="F174" s="733">
        <f t="shared" si="23"/>
        <v>0</v>
      </c>
      <c r="G174" s="733">
        <f t="shared" si="17"/>
        <v>0</v>
      </c>
      <c r="H174" s="733"/>
      <c r="I174" s="733"/>
      <c r="J174" s="733"/>
      <c r="K174" s="733"/>
      <c r="L174" s="733"/>
      <c r="M174" s="733"/>
      <c r="N174" s="733"/>
      <c r="O174" s="733"/>
      <c r="P174" s="733"/>
      <c r="Q174" s="733"/>
      <c r="R174" s="733"/>
      <c r="S174" s="733"/>
    </row>
    <row r="175" spans="1:19">
      <c r="A175" s="740"/>
      <c r="B175" s="727"/>
      <c r="C175" s="733"/>
      <c r="D175" s="733"/>
      <c r="E175" s="733"/>
      <c r="F175" s="733"/>
      <c r="G175" s="733"/>
      <c r="H175" s="733"/>
      <c r="I175" s="733"/>
      <c r="J175" s="733"/>
      <c r="K175" s="733"/>
      <c r="L175" s="733"/>
      <c r="M175" s="733"/>
      <c r="N175" s="733"/>
      <c r="O175" s="733"/>
      <c r="P175" s="733"/>
      <c r="Q175" s="733"/>
      <c r="R175" s="733"/>
      <c r="S175" s="733"/>
    </row>
    <row r="176" spans="1:19">
      <c r="A176" s="740"/>
      <c r="B176" s="727"/>
      <c r="C176" s="733"/>
      <c r="D176" s="733"/>
      <c r="E176" s="733"/>
      <c r="F176" s="733"/>
      <c r="G176" s="733"/>
      <c r="H176" s="733"/>
      <c r="I176" s="733"/>
      <c r="J176" s="733"/>
      <c r="K176" s="733"/>
      <c r="L176" s="733"/>
      <c r="M176" s="733"/>
      <c r="N176" s="733"/>
      <c r="O176" s="733"/>
      <c r="P176" s="733"/>
      <c r="Q176" s="733"/>
      <c r="R176" s="733"/>
      <c r="S176" s="733"/>
    </row>
    <row r="177" spans="1:19" ht="13.5" thickBot="1">
      <c r="A177" s="740">
        <v>10</v>
      </c>
      <c r="C177" s="735">
        <f>SUM(C76:C176)</f>
        <v>0</v>
      </c>
      <c r="D177" s="735">
        <f>SUM(D76:D176)</f>
        <v>0</v>
      </c>
      <c r="E177" s="735">
        <f>SUM(E76:E176)</f>
        <v>0</v>
      </c>
      <c r="F177" s="735">
        <f>SUM(F76:F176)</f>
        <v>0</v>
      </c>
      <c r="G177" s="735">
        <f>SUM(G76:G176)</f>
        <v>0</v>
      </c>
      <c r="H177" s="733"/>
      <c r="I177" s="735">
        <f>SUM(I76:I176)</f>
        <v>0</v>
      </c>
      <c r="J177" s="735">
        <f>SUM(J76:J176)</f>
        <v>0</v>
      </c>
      <c r="K177" s="735">
        <f>SUM(K76:K176)</f>
        <v>0</v>
      </c>
      <c r="L177" s="733"/>
      <c r="M177" s="735">
        <f>SUM(M76:M176)</f>
        <v>0</v>
      </c>
      <c r="N177" s="735">
        <f>SUM(N76:N176)</f>
        <v>0</v>
      </c>
      <c r="O177" s="735">
        <f>SUM(O76:O176)</f>
        <v>0</v>
      </c>
      <c r="P177" s="733"/>
      <c r="Q177" s="735">
        <f>SUM(Q76:Q176)</f>
        <v>0</v>
      </c>
      <c r="R177" s="735">
        <f>SUM(R76:R176)</f>
        <v>0</v>
      </c>
      <c r="S177" s="735">
        <f>SUM(S76:S176)</f>
        <v>0</v>
      </c>
    </row>
    <row r="178" spans="1:19" ht="13.5" thickTop="1">
      <c r="A178" s="740"/>
      <c r="B178" s="727"/>
      <c r="C178" s="736"/>
      <c r="D178" s="736"/>
      <c r="E178" s="736"/>
      <c r="F178" s="736"/>
      <c r="G178" s="736"/>
      <c r="H178" s="733"/>
      <c r="I178" s="736"/>
      <c r="J178" s="736"/>
      <c r="K178" s="736"/>
      <c r="L178" s="733"/>
      <c r="M178" s="736"/>
      <c r="N178" s="736"/>
      <c r="O178" s="736"/>
      <c r="P178" s="733"/>
      <c r="Q178" s="736"/>
      <c r="R178" s="736"/>
      <c r="S178" s="736"/>
    </row>
    <row r="179" spans="1:19">
      <c r="A179" s="740"/>
      <c r="B179" s="727"/>
      <c r="C179" s="733"/>
      <c r="D179" s="733"/>
      <c r="E179" s="733"/>
      <c r="F179" s="733"/>
      <c r="G179" s="733"/>
      <c r="H179" s="733"/>
      <c r="I179" s="733"/>
      <c r="J179" s="733"/>
      <c r="K179" s="733"/>
      <c r="L179" s="733"/>
      <c r="M179" s="733"/>
      <c r="N179" s="733"/>
      <c r="O179" s="733"/>
      <c r="P179" s="733"/>
      <c r="Q179" s="733"/>
      <c r="R179" s="733"/>
      <c r="S179" s="733"/>
    </row>
    <row r="180" spans="1:19">
      <c r="A180" s="740">
        <f>+A177+1</f>
        <v>11</v>
      </c>
      <c r="B180" s="723" t="s">
        <v>679</v>
      </c>
      <c r="C180" s="733">
        <f>SUM(M180:O180)</f>
        <v>0</v>
      </c>
      <c r="D180" s="733">
        <f>SUM(Q180:S180)</f>
        <v>0</v>
      </c>
      <c r="E180" s="733"/>
      <c r="F180" s="733"/>
      <c r="G180" s="733">
        <f>ROUND(SUM(C180:F180)/2,0)</f>
        <v>0</v>
      </c>
      <c r="H180" s="733"/>
      <c r="I180" s="733">
        <f>(M180+Q180)/2</f>
        <v>0</v>
      </c>
      <c r="J180" s="733">
        <f>(N180+R180)/2</f>
        <v>0</v>
      </c>
      <c r="K180" s="733">
        <f>(O180+S180)/2</f>
        <v>0</v>
      </c>
      <c r="L180" s="733"/>
      <c r="M180" s="725"/>
      <c r="N180" s="725"/>
      <c r="O180" s="725"/>
      <c r="P180" s="733"/>
      <c r="Q180" s="725"/>
      <c r="R180" s="725"/>
      <c r="S180" s="725"/>
    </row>
    <row r="181" spans="1:19">
      <c r="A181" s="756">
        <f>A180+0.01</f>
        <v>11.01</v>
      </c>
      <c r="B181" s="725"/>
      <c r="C181" s="725"/>
      <c r="D181" s="725"/>
      <c r="E181" s="733">
        <f>-C181</f>
        <v>0</v>
      </c>
      <c r="F181" s="733">
        <f>-D181</f>
        <v>0</v>
      </c>
      <c r="G181" s="733">
        <f>ROUND(SUM(C181:F181)/2,0)</f>
        <v>0</v>
      </c>
      <c r="H181" s="733"/>
      <c r="I181" s="733"/>
      <c r="J181" s="733"/>
      <c r="K181" s="733"/>
      <c r="L181" s="733"/>
      <c r="M181" s="733"/>
      <c r="N181" s="733"/>
      <c r="O181" s="733"/>
      <c r="P181" s="733"/>
      <c r="Q181" s="733"/>
      <c r="R181" s="733"/>
      <c r="S181" s="733"/>
    </row>
    <row r="182" spans="1:19">
      <c r="A182" s="740"/>
      <c r="B182" s="727"/>
      <c r="C182" s="733"/>
      <c r="D182" s="733"/>
      <c r="E182" s="733"/>
      <c r="F182" s="733"/>
      <c r="G182" s="733"/>
      <c r="H182" s="733"/>
      <c r="I182" s="733"/>
      <c r="J182" s="733"/>
      <c r="K182" s="733"/>
      <c r="L182" s="733"/>
      <c r="M182" s="733"/>
      <c r="N182" s="733"/>
      <c r="O182" s="733"/>
      <c r="P182" s="733"/>
      <c r="Q182" s="733"/>
      <c r="R182" s="733"/>
      <c r="S182" s="733"/>
    </row>
    <row r="183" spans="1:19" ht="13.5" thickBot="1">
      <c r="A183" s="740">
        <f>+A180+1</f>
        <v>12</v>
      </c>
      <c r="B183" s="723" t="s">
        <v>680</v>
      </c>
      <c r="C183" s="735">
        <f>SUM(C177:C182)</f>
        <v>0</v>
      </c>
      <c r="D183" s="735">
        <f>SUM(D177:D182)</f>
        <v>0</v>
      </c>
      <c r="E183" s="735">
        <f>SUM(E177:E182)</f>
        <v>0</v>
      </c>
      <c r="F183" s="735">
        <f>SUM(F177:F182)</f>
        <v>0</v>
      </c>
      <c r="G183" s="735">
        <f>SUM(G177:G182)</f>
        <v>0</v>
      </c>
      <c r="H183" s="733"/>
      <c r="I183" s="735">
        <f>SUM(I177:I182)</f>
        <v>0</v>
      </c>
      <c r="J183" s="735">
        <f>SUM(J177:J182)</f>
        <v>0</v>
      </c>
      <c r="K183" s="735">
        <f>SUM(K177:K182)</f>
        <v>0</v>
      </c>
      <c r="L183" s="733"/>
      <c r="M183" s="738">
        <f>SUM(M177:M182)</f>
        <v>0</v>
      </c>
      <c r="N183" s="738">
        <f>SUM(N177:N182)</f>
        <v>0</v>
      </c>
      <c r="O183" s="738">
        <f>SUM(O177:O182)</f>
        <v>0</v>
      </c>
      <c r="P183" s="733"/>
      <c r="Q183" s="735">
        <f>SUM(Q177:Q182)</f>
        <v>0</v>
      </c>
      <c r="R183" s="735">
        <f>SUM(R177:R182)</f>
        <v>0</v>
      </c>
      <c r="S183" s="735">
        <f>SUM(S177:S182)</f>
        <v>0</v>
      </c>
    </row>
    <row r="184" spans="1:19" ht="13.5" thickTop="1">
      <c r="A184" s="740">
        <f>A183+1</f>
        <v>13</v>
      </c>
      <c r="B184" s="727" t="s">
        <v>681</v>
      </c>
      <c r="C184" s="736">
        <f>C106+C139</f>
        <v>0</v>
      </c>
      <c r="D184" s="736">
        <f>D106+D139</f>
        <v>0</v>
      </c>
      <c r="E184" s="736">
        <f>E106+E139</f>
        <v>0</v>
      </c>
      <c r="F184" s="736">
        <f>F106+F139</f>
        <v>0</v>
      </c>
      <c r="G184" s="736">
        <f>G106+G139</f>
        <v>0</v>
      </c>
      <c r="H184" s="733"/>
      <c r="I184" s="736">
        <f>I106+I139</f>
        <v>0</v>
      </c>
      <c r="J184" s="736">
        <f>J106+J139</f>
        <v>0</v>
      </c>
      <c r="K184" s="736">
        <f>K106+K139</f>
        <v>0</v>
      </c>
      <c r="L184" s="733"/>
      <c r="M184" s="736">
        <f>M106+M139</f>
        <v>0</v>
      </c>
      <c r="N184" s="736">
        <f>N106+N139</f>
        <v>0</v>
      </c>
      <c r="O184" s="736">
        <f>O106+O139</f>
        <v>0</v>
      </c>
      <c r="P184" s="733"/>
      <c r="Q184" s="736">
        <f>Q106+Q139</f>
        <v>0</v>
      </c>
      <c r="R184" s="736">
        <f>R106+R139</f>
        <v>0</v>
      </c>
      <c r="S184" s="736">
        <f>S106+S139</f>
        <v>0</v>
      </c>
    </row>
    <row r="185" spans="1:19">
      <c r="A185" s="740"/>
      <c r="B185" s="727"/>
      <c r="C185" s="733"/>
      <c r="D185" s="733"/>
      <c r="E185" s="733"/>
      <c r="F185" s="733"/>
      <c r="G185" s="733"/>
      <c r="H185" s="733"/>
      <c r="I185" s="733"/>
      <c r="J185" s="733"/>
      <c r="K185" s="733"/>
      <c r="L185" s="733"/>
      <c r="M185" s="733"/>
      <c r="N185" s="733"/>
      <c r="O185" s="733"/>
      <c r="P185" s="733"/>
      <c r="Q185" s="733"/>
      <c r="R185" s="733"/>
      <c r="S185" s="733"/>
    </row>
    <row r="186" spans="1:19">
      <c r="A186" s="740">
        <f>+A184+1</f>
        <v>14</v>
      </c>
      <c r="B186" s="723" t="s">
        <v>682</v>
      </c>
      <c r="C186" s="733"/>
      <c r="D186" s="733"/>
      <c r="E186" s="733"/>
      <c r="F186" s="733"/>
      <c r="G186" s="733"/>
      <c r="H186" s="733"/>
      <c r="I186" s="733"/>
      <c r="J186" s="733"/>
      <c r="K186" s="733"/>
      <c r="L186" s="733"/>
      <c r="M186" s="733"/>
      <c r="N186" s="733"/>
      <c r="O186" s="733"/>
      <c r="P186" s="733"/>
      <c r="Q186" s="733"/>
      <c r="R186" s="733"/>
      <c r="S186" s="733"/>
    </row>
    <row r="187" spans="1:19">
      <c r="A187" s="740"/>
      <c r="B187" s="727"/>
      <c r="C187" s="733"/>
      <c r="D187" s="733"/>
      <c r="E187" s="733"/>
      <c r="F187" s="733"/>
      <c r="G187" s="733"/>
      <c r="H187" s="733"/>
      <c r="I187" s="733"/>
      <c r="J187" s="733"/>
      <c r="K187" s="733"/>
      <c r="L187" s="733"/>
      <c r="M187" s="733"/>
      <c r="N187" s="733"/>
      <c r="O187" s="733"/>
      <c r="P187" s="733"/>
      <c r="Q187" s="733"/>
      <c r="R187" s="733"/>
      <c r="S187" s="733"/>
    </row>
    <row r="188" spans="1:19">
      <c r="A188" s="740">
        <f>+A186+1</f>
        <v>15</v>
      </c>
      <c r="B188" s="723" t="s">
        <v>683</v>
      </c>
      <c r="C188" s="733"/>
      <c r="D188" s="733"/>
      <c r="E188" s="733"/>
      <c r="F188" s="733"/>
      <c r="G188" s="733"/>
      <c r="H188" s="733"/>
      <c r="I188" s="733"/>
      <c r="J188" s="733"/>
      <c r="K188" s="733"/>
      <c r="L188" s="733"/>
      <c r="M188" s="733"/>
      <c r="N188" s="733"/>
      <c r="O188" s="733"/>
      <c r="P188" s="733"/>
      <c r="Q188" s="733"/>
      <c r="R188" s="733"/>
      <c r="S188" s="733"/>
    </row>
    <row r="189" spans="1:19">
      <c r="A189" s="740"/>
      <c r="B189" s="727"/>
      <c r="C189" s="733"/>
      <c r="D189" s="733"/>
      <c r="E189" s="733"/>
      <c r="F189" s="733"/>
      <c r="G189" s="733"/>
      <c r="H189" s="733"/>
      <c r="I189" s="733"/>
      <c r="J189" s="733"/>
      <c r="K189" s="733"/>
      <c r="L189" s="733"/>
      <c r="M189" s="733"/>
      <c r="N189" s="733"/>
      <c r="O189" s="733"/>
      <c r="P189" s="733"/>
      <c r="Q189" s="733"/>
      <c r="R189" s="733"/>
      <c r="S189" s="733"/>
    </row>
    <row r="190" spans="1:19">
      <c r="A190" s="740">
        <f>+A188+1</f>
        <v>16</v>
      </c>
      <c r="B190" s="723" t="s">
        <v>684</v>
      </c>
      <c r="C190" s="733"/>
      <c r="D190" s="733"/>
      <c r="E190" s="733"/>
      <c r="F190" s="733"/>
      <c r="G190" s="733"/>
      <c r="H190" s="733"/>
      <c r="I190" s="733"/>
      <c r="J190" s="733"/>
      <c r="K190" s="733"/>
      <c r="L190" s="733"/>
      <c r="M190" s="733"/>
      <c r="N190" s="733"/>
      <c r="O190" s="733"/>
      <c r="P190" s="733"/>
      <c r="Q190" s="733"/>
      <c r="R190" s="733"/>
      <c r="S190" s="733"/>
    </row>
    <row r="191" spans="1:19">
      <c r="A191" s="740"/>
      <c r="B191" s="727"/>
      <c r="C191" s="733"/>
      <c r="D191" s="733"/>
      <c r="E191" s="733"/>
      <c r="F191" s="733"/>
      <c r="G191" s="733"/>
      <c r="H191" s="733"/>
      <c r="I191" s="733"/>
      <c r="J191" s="733"/>
      <c r="K191" s="733"/>
      <c r="L191" s="733"/>
      <c r="M191" s="733"/>
      <c r="N191" s="733"/>
      <c r="O191" s="733"/>
      <c r="P191" s="733"/>
      <c r="Q191" s="733"/>
      <c r="R191" s="733"/>
      <c r="S191" s="733"/>
    </row>
    <row r="192" spans="1:19">
      <c r="A192" s="740">
        <f>+A190+1</f>
        <v>17</v>
      </c>
      <c r="B192" s="723" t="s">
        <v>685</v>
      </c>
      <c r="C192" s="733"/>
      <c r="D192" s="733"/>
      <c r="E192" s="733"/>
      <c r="F192" s="733"/>
      <c r="G192" s="733"/>
      <c r="H192" s="733"/>
      <c r="I192" s="733"/>
      <c r="J192" s="733"/>
      <c r="K192" s="733"/>
      <c r="L192" s="733"/>
      <c r="M192" s="733"/>
      <c r="N192" s="733"/>
      <c r="O192" s="733"/>
      <c r="P192" s="733"/>
      <c r="Q192" s="733"/>
      <c r="R192" s="733"/>
      <c r="S192" s="733"/>
    </row>
    <row r="193" spans="1:19">
      <c r="A193" s="740">
        <f>A192+1</f>
        <v>18</v>
      </c>
      <c r="B193" s="723" t="s">
        <v>686</v>
      </c>
      <c r="C193" s="733"/>
      <c r="D193" s="733"/>
      <c r="E193" s="733"/>
      <c r="F193" s="733"/>
      <c r="G193" s="733"/>
      <c r="H193" s="733"/>
      <c r="I193" s="733"/>
      <c r="J193" s="733"/>
      <c r="K193" s="733"/>
      <c r="L193" s="733"/>
      <c r="M193" s="733"/>
      <c r="N193" s="733"/>
      <c r="O193" s="733"/>
      <c r="P193" s="733"/>
      <c r="Q193" s="725"/>
      <c r="R193" s="733"/>
      <c r="S193" s="733"/>
    </row>
    <row r="194" spans="1:19">
      <c r="A194" s="756">
        <f>A193+0.01</f>
        <v>18.010000000000002</v>
      </c>
      <c r="B194" s="725"/>
      <c r="C194" s="733">
        <f>SUM(M194:O194)</f>
        <v>0</v>
      </c>
      <c r="D194" s="733">
        <f>SUM(Q194:S194)</f>
        <v>0</v>
      </c>
      <c r="E194" s="733"/>
      <c r="F194" s="733"/>
      <c r="G194" s="733">
        <f>ROUND(SUM(C194:F194)/2,0)</f>
        <v>0</v>
      </c>
      <c r="H194" s="733"/>
      <c r="I194" s="733">
        <f t="shared" ref="I194:K195" si="24">(M194+Q194)/2</f>
        <v>0</v>
      </c>
      <c r="J194" s="733">
        <f t="shared" si="24"/>
        <v>0</v>
      </c>
      <c r="K194" s="733">
        <f t="shared" si="24"/>
        <v>0</v>
      </c>
      <c r="L194" s="733"/>
      <c r="M194" s="725"/>
      <c r="N194" s="725"/>
      <c r="O194" s="725"/>
      <c r="P194" s="733"/>
      <c r="Q194" s="725"/>
      <c r="R194" s="725"/>
      <c r="S194" s="725"/>
    </row>
    <row r="195" spans="1:19">
      <c r="A195" s="756">
        <f>A194+0.01</f>
        <v>18.020000000000003</v>
      </c>
      <c r="B195" s="725"/>
      <c r="C195" s="733">
        <f>SUM(M195:O195)</f>
        <v>0</v>
      </c>
      <c r="D195" s="733">
        <f>SUM(Q195:S195)</f>
        <v>0</v>
      </c>
      <c r="E195" s="733"/>
      <c r="F195" s="733"/>
      <c r="G195" s="733">
        <f>ROUND(SUM(C195:F195)/2,0)</f>
        <v>0</v>
      </c>
      <c r="H195" s="733"/>
      <c r="I195" s="733">
        <f t="shared" si="24"/>
        <v>0</v>
      </c>
      <c r="J195" s="733">
        <f t="shared" si="24"/>
        <v>0</v>
      </c>
      <c r="K195" s="733">
        <f t="shared" si="24"/>
        <v>0</v>
      </c>
      <c r="L195" s="733"/>
      <c r="M195" s="725"/>
      <c r="N195" s="725"/>
      <c r="O195" s="725"/>
      <c r="P195" s="733"/>
      <c r="Q195" s="725"/>
      <c r="R195" s="725"/>
      <c r="S195" s="725"/>
    </row>
    <row r="196" spans="1:19">
      <c r="A196" s="740">
        <f>INT(A195)+1</f>
        <v>19</v>
      </c>
      <c r="C196" s="733"/>
      <c r="D196" s="733"/>
      <c r="E196" s="733"/>
      <c r="F196" s="733"/>
      <c r="G196" s="733"/>
      <c r="H196" s="733"/>
      <c r="I196" s="733"/>
      <c r="J196" s="733"/>
      <c r="K196" s="733"/>
      <c r="L196" s="733"/>
      <c r="M196" s="733"/>
      <c r="N196" s="733"/>
      <c r="O196" s="733"/>
      <c r="P196" s="733"/>
      <c r="Q196" s="733"/>
      <c r="R196" s="733"/>
      <c r="S196" s="733"/>
    </row>
    <row r="197" spans="1:19">
      <c r="A197" s="740">
        <f>A196+1</f>
        <v>20</v>
      </c>
      <c r="B197" s="723" t="s">
        <v>687</v>
      </c>
      <c r="C197" s="735">
        <f>SUM(C194:C196)</f>
        <v>0</v>
      </c>
      <c r="D197" s="735">
        <f>SUM(D194:D196)</f>
        <v>0</v>
      </c>
      <c r="E197" s="735">
        <f>SUM(E194:E196)</f>
        <v>0</v>
      </c>
      <c r="F197" s="735">
        <f>SUM(F194:F196)</f>
        <v>0</v>
      </c>
      <c r="G197" s="735">
        <f>SUM(G194:G196)</f>
        <v>0</v>
      </c>
      <c r="H197" s="733"/>
      <c r="I197" s="735">
        <f>SUM(I194:I196)</f>
        <v>0</v>
      </c>
      <c r="J197" s="735">
        <f>SUM(J194:J196)</f>
        <v>0</v>
      </c>
      <c r="K197" s="735">
        <f>SUM(K194:K196)</f>
        <v>0</v>
      </c>
      <c r="L197" s="733"/>
      <c r="M197" s="735">
        <f>SUM(M194:M196)</f>
        <v>0</v>
      </c>
      <c r="N197" s="735">
        <f>SUM(N194:N196)</f>
        <v>0</v>
      </c>
      <c r="O197" s="735">
        <f>SUM(O194:O196)</f>
        <v>0</v>
      </c>
      <c r="P197" s="733"/>
      <c r="Q197" s="735">
        <f>SUM(Q194:Q196)</f>
        <v>0</v>
      </c>
      <c r="R197" s="735">
        <f>SUM(R194:R196)</f>
        <v>0</v>
      </c>
      <c r="S197" s="735">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topLeftCell="A4" zoomScale="60" zoomScaleNormal="100" workbookViewId="0">
      <selection activeCell="E14" sqref="E14"/>
    </sheetView>
  </sheetViews>
  <sheetFormatPr defaultRowHeight="12.75"/>
  <cols>
    <col min="1" max="1" width="6" style="723" customWidth="1"/>
    <col min="2" max="2" width="54.5703125" style="723" bestFit="1" customWidth="1"/>
    <col min="3" max="3" width="13.42578125" style="723" bestFit="1" customWidth="1"/>
    <col min="4" max="4" width="12.85546875" style="723" bestFit="1" customWidth="1"/>
    <col min="5" max="6" width="17" style="723" customWidth="1"/>
    <col min="7" max="7" width="15.28515625" style="723" bestFit="1" customWidth="1"/>
    <col min="8" max="8" width="9.140625" style="723"/>
    <col min="9" max="9" width="13.140625" style="723" bestFit="1" customWidth="1"/>
    <col min="10" max="10" width="15" style="723" bestFit="1" customWidth="1"/>
    <col min="11" max="11" width="13.5703125" style="723" bestFit="1" customWidth="1"/>
    <col min="12" max="12" width="9.140625" style="723"/>
    <col min="13" max="13" width="13.140625" style="723" bestFit="1" customWidth="1"/>
    <col min="14" max="14" width="15" style="723" bestFit="1" customWidth="1"/>
    <col min="15" max="15" width="13.5703125" style="723" bestFit="1" customWidth="1"/>
    <col min="16" max="16" width="9.140625" style="723"/>
    <col min="17" max="17" width="13.140625" style="723" bestFit="1" customWidth="1"/>
    <col min="18" max="18" width="15" style="723" bestFit="1" customWidth="1"/>
    <col min="19" max="19" width="13.5703125" style="723" bestFit="1" customWidth="1"/>
    <col min="20" max="16384" width="9.140625" style="723"/>
  </cols>
  <sheetData>
    <row r="1" spans="1:19">
      <c r="A1" s="741"/>
      <c r="B1" s="755" t="str">
        <f>TCOS!F9</f>
        <v>AEP Indiana Michigan Transmission Company</v>
      </c>
      <c r="C1" s="727"/>
      <c r="D1" s="727"/>
      <c r="E1" s="727"/>
      <c r="F1" s="727"/>
      <c r="M1" s="727"/>
      <c r="N1" s="727"/>
      <c r="P1" s="727"/>
      <c r="Q1" s="727"/>
      <c r="R1" s="727"/>
    </row>
    <row r="2" spans="1:19">
      <c r="A2" s="741"/>
      <c r="B2" s="726" t="s">
        <v>688</v>
      </c>
      <c r="C2" s="727"/>
      <c r="D2" s="727"/>
      <c r="E2" s="727"/>
      <c r="F2" s="727"/>
      <c r="M2" s="727"/>
      <c r="N2" s="727"/>
      <c r="P2" s="727"/>
      <c r="Q2" s="727"/>
      <c r="R2" s="727"/>
    </row>
    <row r="3" spans="1:19">
      <c r="A3" s="741"/>
      <c r="B3" s="726" t="str">
        <f>"PERIOD ENDED DECEMBER 31, "&amp;TCOS!L4</f>
        <v>PERIOD ENDED DECEMBER 31, 2026</v>
      </c>
      <c r="C3" s="727"/>
      <c r="D3" s="727"/>
      <c r="E3" s="727"/>
      <c r="F3" s="727"/>
      <c r="G3" s="727"/>
      <c r="H3" s="727"/>
      <c r="I3" s="727"/>
      <c r="J3" s="727"/>
      <c r="K3" s="727"/>
      <c r="L3" s="727"/>
      <c r="M3" s="727"/>
      <c r="N3" s="727"/>
      <c r="O3" s="727"/>
      <c r="P3" s="727"/>
      <c r="Q3" s="727"/>
      <c r="R3" s="727"/>
      <c r="S3" s="727"/>
    </row>
    <row r="4" spans="1:19">
      <c r="A4" s="741"/>
      <c r="B4" s="732"/>
      <c r="C4" s="727"/>
      <c r="D4" s="727"/>
      <c r="E4" s="727"/>
      <c r="F4" s="727"/>
      <c r="G4" s="724" t="s">
        <v>689</v>
      </c>
      <c r="H4" s="727"/>
      <c r="I4" s="727"/>
      <c r="J4" s="727"/>
      <c r="K4" s="727"/>
      <c r="L4" s="727"/>
      <c r="M4" s="727"/>
      <c r="N4" s="727"/>
      <c r="O4" s="727"/>
      <c r="P4" s="727"/>
      <c r="Q4" s="727"/>
      <c r="R4" s="727"/>
      <c r="S4" s="727"/>
    </row>
    <row r="5" spans="1:19">
      <c r="A5" s="741"/>
      <c r="B5" s="727"/>
      <c r="C5" s="727"/>
      <c r="D5" s="727"/>
      <c r="E5" s="727"/>
      <c r="F5" s="727"/>
      <c r="G5" s="727"/>
      <c r="H5" s="727"/>
      <c r="I5" s="727"/>
      <c r="J5" s="727"/>
      <c r="K5" s="727"/>
      <c r="L5" s="727"/>
      <c r="M5" s="727"/>
      <c r="N5" s="727"/>
      <c r="O5" s="727"/>
      <c r="P5" s="727"/>
      <c r="Q5" s="727"/>
      <c r="R5" s="727"/>
      <c r="S5" s="727"/>
    </row>
    <row r="6" spans="1:19">
      <c r="A6" s="741"/>
      <c r="B6" s="727"/>
      <c r="C6" s="727"/>
      <c r="D6" s="727"/>
      <c r="E6" s="727"/>
      <c r="F6" s="727"/>
      <c r="G6" s="727"/>
      <c r="H6" s="724"/>
      <c r="I6" s="724"/>
      <c r="J6" s="724"/>
      <c r="K6" s="724"/>
      <c r="L6" s="724"/>
      <c r="M6" s="727"/>
      <c r="N6" s="727"/>
      <c r="O6" s="727"/>
      <c r="P6" s="727"/>
      <c r="Q6" s="727"/>
      <c r="R6" s="727"/>
      <c r="S6" s="727"/>
    </row>
    <row r="7" spans="1:19">
      <c r="A7" s="741"/>
      <c r="B7" s="727"/>
      <c r="C7" s="727"/>
      <c r="D7" s="727"/>
      <c r="E7" s="727"/>
      <c r="F7" s="727"/>
      <c r="G7" s="727"/>
      <c r="H7" s="727"/>
      <c r="I7" s="727"/>
      <c r="J7" s="727"/>
      <c r="K7" s="727"/>
      <c r="L7" s="727"/>
      <c r="M7" s="727"/>
      <c r="N7" s="727"/>
      <c r="O7" s="727"/>
      <c r="P7" s="727"/>
      <c r="Q7" s="727"/>
      <c r="R7" s="727"/>
      <c r="S7" s="727"/>
    </row>
    <row r="8" spans="1:19">
      <c r="A8" s="741"/>
      <c r="B8" s="728" t="s">
        <v>645</v>
      </c>
      <c r="C8" s="728" t="s">
        <v>646</v>
      </c>
      <c r="D8" s="728" t="s">
        <v>647</v>
      </c>
      <c r="E8" s="728" t="s">
        <v>648</v>
      </c>
      <c r="F8" s="728" t="s">
        <v>649</v>
      </c>
      <c r="G8" s="728" t="s">
        <v>650</v>
      </c>
      <c r="H8" s="728"/>
      <c r="I8" s="728" t="s">
        <v>651</v>
      </c>
      <c r="J8" s="728" t="s">
        <v>652</v>
      </c>
      <c r="K8" s="728" t="s">
        <v>653</v>
      </c>
      <c r="L8" s="728"/>
      <c r="M8" s="728" t="s">
        <v>654</v>
      </c>
      <c r="N8" s="728" t="s">
        <v>655</v>
      </c>
      <c r="O8" s="728" t="s">
        <v>656</v>
      </c>
      <c r="P8" s="727"/>
      <c r="Q8" s="728" t="s">
        <v>657</v>
      </c>
      <c r="R8" s="728" t="s">
        <v>658</v>
      </c>
      <c r="S8" s="728" t="s">
        <v>659</v>
      </c>
    </row>
    <row r="9" spans="1:19">
      <c r="A9" s="741"/>
      <c r="B9" s="727"/>
      <c r="C9" s="727"/>
      <c r="D9" s="727"/>
      <c r="E9" s="727"/>
      <c r="F9" s="727"/>
      <c r="G9" s="727"/>
      <c r="H9" s="727"/>
      <c r="I9" s="727"/>
      <c r="J9" s="727"/>
      <c r="K9" s="727"/>
      <c r="L9" s="727"/>
      <c r="M9" s="727"/>
      <c r="N9" s="727"/>
      <c r="O9" s="727"/>
      <c r="P9" s="727"/>
      <c r="Q9" s="727"/>
      <c r="R9" s="727"/>
      <c r="S9" s="727"/>
    </row>
    <row r="10" spans="1:19">
      <c r="A10" s="741"/>
      <c r="B10" s="727"/>
      <c r="C10" s="729" t="s">
        <v>660</v>
      </c>
      <c r="D10" s="729"/>
      <c r="E10" s="730" t="s">
        <v>661</v>
      </c>
      <c r="F10" s="729"/>
      <c r="G10" s="724" t="s">
        <v>662</v>
      </c>
      <c r="H10" s="724"/>
      <c r="I10" s="729" t="s">
        <v>663</v>
      </c>
      <c r="J10" s="729"/>
      <c r="K10" s="729"/>
      <c r="L10" s="724"/>
      <c r="M10" s="729" t="str">
        <f>"FUNCTIONALIZATION 12/31/"&amp;TCOS!L4-1</f>
        <v>FUNCTIONALIZATION 12/31/2025</v>
      </c>
      <c r="N10" s="729"/>
      <c r="O10" s="729"/>
      <c r="P10" s="727"/>
      <c r="Q10" s="729" t="str">
        <f>"FUNCTIONALIZATION 12/31/"&amp;TCOS!L4</f>
        <v>FUNCTIONALIZATION 12/31/2026</v>
      </c>
      <c r="R10" s="729"/>
      <c r="S10" s="729"/>
    </row>
    <row r="11" spans="1:19">
      <c r="A11" s="741"/>
      <c r="B11" s="727"/>
      <c r="C11" s="731"/>
      <c r="D11" s="731"/>
      <c r="E11" s="727"/>
      <c r="F11" s="727"/>
      <c r="G11" s="724" t="s">
        <v>664</v>
      </c>
      <c r="H11" s="724"/>
      <c r="I11" s="731"/>
      <c r="J11" s="731"/>
      <c r="K11" s="731"/>
      <c r="L11" s="724"/>
      <c r="M11" s="731"/>
      <c r="N11" s="731"/>
      <c r="O11" s="731"/>
      <c r="P11" s="727"/>
      <c r="Q11" s="731"/>
      <c r="R11" s="731"/>
      <c r="S11" s="731"/>
    </row>
    <row r="12" spans="1:19">
      <c r="A12" s="741"/>
      <c r="B12" s="727"/>
      <c r="C12" s="724" t="s">
        <v>665</v>
      </c>
      <c r="D12" s="724" t="s">
        <v>665</v>
      </c>
      <c r="E12" s="724" t="s">
        <v>665</v>
      </c>
      <c r="F12" s="724" t="s">
        <v>665</v>
      </c>
      <c r="G12" s="724" t="s">
        <v>666</v>
      </c>
      <c r="H12" s="724"/>
      <c r="I12" s="727"/>
      <c r="J12" s="727"/>
      <c r="K12" s="727"/>
      <c r="L12" s="724"/>
      <c r="M12" s="727"/>
      <c r="N12" s="727"/>
      <c r="O12" s="727"/>
      <c r="P12" s="727"/>
      <c r="Q12" s="727"/>
      <c r="R12" s="727"/>
      <c r="S12" s="727"/>
    </row>
    <row r="13" spans="1:19">
      <c r="A13" s="741"/>
      <c r="B13" s="728" t="s">
        <v>667</v>
      </c>
      <c r="C13" s="728" t="str">
        <f>"OF 12-31-"&amp;TCOS!L4-1</f>
        <v>OF 12-31-2025</v>
      </c>
      <c r="D13" s="728" t="str">
        <f>"OF 12-31-"&amp;TCOS!L4</f>
        <v>OF 12-31-2026</v>
      </c>
      <c r="E13" s="728" t="str">
        <f>"OF 12-31-"&amp;TCOS!L4-1</f>
        <v>OF 12-31-2025</v>
      </c>
      <c r="F13" s="728" t="str">
        <f>"OF 12-31-"&amp;TCOS!L4</f>
        <v>OF 12-31-2026</v>
      </c>
      <c r="G13" s="728" t="s">
        <v>668</v>
      </c>
      <c r="H13" s="728"/>
      <c r="I13" s="728" t="s">
        <v>669</v>
      </c>
      <c r="J13" s="728" t="s">
        <v>670</v>
      </c>
      <c r="K13" s="728" t="s">
        <v>671</v>
      </c>
      <c r="L13" s="728"/>
      <c r="M13" s="728" t="s">
        <v>669</v>
      </c>
      <c r="N13" s="728" t="s">
        <v>670</v>
      </c>
      <c r="O13" s="728" t="s">
        <v>671</v>
      </c>
      <c r="P13" s="727"/>
      <c r="Q13" s="728" t="s">
        <v>669</v>
      </c>
      <c r="R13" s="728" t="s">
        <v>670</v>
      </c>
      <c r="S13" s="728" t="s">
        <v>671</v>
      </c>
    </row>
    <row r="14" spans="1:19">
      <c r="A14" s="741"/>
      <c r="B14" s="727"/>
      <c r="C14" s="727"/>
      <c r="D14" s="727"/>
      <c r="E14" s="727"/>
      <c r="F14" s="727"/>
      <c r="G14" s="727"/>
      <c r="H14" s="727"/>
      <c r="I14" s="727"/>
      <c r="J14" s="727"/>
      <c r="K14" s="727"/>
      <c r="L14" s="727"/>
      <c r="M14" s="727"/>
      <c r="N14" s="727"/>
      <c r="O14" s="727"/>
      <c r="P14" s="727"/>
      <c r="Q14" s="727"/>
      <c r="R14" s="727"/>
      <c r="S14" s="727"/>
    </row>
    <row r="15" spans="1:19">
      <c r="A15" s="742">
        <v>1</v>
      </c>
      <c r="B15" s="733" t="s">
        <v>690</v>
      </c>
      <c r="C15" s="733"/>
      <c r="D15" s="733"/>
      <c r="E15" s="733"/>
      <c r="F15" s="734"/>
      <c r="G15" s="733"/>
      <c r="H15" s="733"/>
      <c r="I15" s="733"/>
      <c r="J15" s="733"/>
      <c r="K15" s="733"/>
      <c r="L15" s="733"/>
      <c r="M15" s="733"/>
      <c r="N15" s="733"/>
      <c r="O15" s="733"/>
      <c r="P15" s="733"/>
      <c r="Q15" s="733"/>
      <c r="R15" s="733"/>
      <c r="S15" s="733"/>
    </row>
    <row r="16" spans="1:19">
      <c r="A16" s="742"/>
      <c r="B16" s="733"/>
      <c r="C16" s="733"/>
      <c r="D16" s="733"/>
      <c r="E16" s="733"/>
      <c r="F16" s="733"/>
      <c r="G16" s="733"/>
      <c r="H16" s="733"/>
      <c r="I16" s="733"/>
      <c r="J16" s="733"/>
      <c r="K16" s="733"/>
      <c r="L16" s="733"/>
      <c r="M16" s="733"/>
      <c r="N16" s="733"/>
      <c r="O16" s="733"/>
      <c r="P16" s="733"/>
      <c r="Q16" s="733"/>
      <c r="R16" s="733"/>
      <c r="S16" s="733"/>
    </row>
    <row r="17" spans="1:19">
      <c r="A17" s="747">
        <v>2.0099999999999998</v>
      </c>
      <c r="B17" s="725"/>
      <c r="C17" s="733">
        <f t="shared" ref="C17:C80" si="0">SUM(M17:O17)</f>
        <v>0</v>
      </c>
      <c r="D17" s="733">
        <f t="shared" ref="D17:D80" si="1">SUM(Q17:S17)</f>
        <v>0</v>
      </c>
      <c r="E17" s="733"/>
      <c r="F17" s="733"/>
      <c r="G17" s="733">
        <f t="shared" ref="G17:G80" si="2">ROUND(SUM(C17:F17)/2,0)</f>
        <v>0</v>
      </c>
      <c r="H17" s="733"/>
      <c r="I17" s="733">
        <f t="shared" ref="I17:K48" si="3">(M17+Q17)/2</f>
        <v>0</v>
      </c>
      <c r="J17" s="733">
        <f t="shared" si="3"/>
        <v>0</v>
      </c>
      <c r="K17" s="733">
        <f t="shared" si="3"/>
        <v>0</v>
      </c>
      <c r="L17" s="733"/>
      <c r="M17" s="725"/>
      <c r="N17" s="725"/>
      <c r="O17" s="725"/>
      <c r="P17" s="733"/>
      <c r="Q17" s="725"/>
      <c r="R17" s="725"/>
      <c r="S17" s="725"/>
    </row>
    <row r="18" spans="1:19">
      <c r="A18" s="747">
        <f>A17+0.01</f>
        <v>2.0199999999999996</v>
      </c>
      <c r="B18" s="725"/>
      <c r="C18" s="733">
        <f t="shared" si="0"/>
        <v>0</v>
      </c>
      <c r="D18" s="733">
        <f t="shared" si="1"/>
        <v>0</v>
      </c>
      <c r="E18" s="733"/>
      <c r="F18" s="733"/>
      <c r="G18" s="733">
        <f t="shared" si="2"/>
        <v>0</v>
      </c>
      <c r="H18" s="733"/>
      <c r="I18" s="733">
        <f t="shared" si="3"/>
        <v>0</v>
      </c>
      <c r="J18" s="733">
        <f t="shared" si="3"/>
        <v>0</v>
      </c>
      <c r="K18" s="733">
        <f t="shared" si="3"/>
        <v>0</v>
      </c>
      <c r="L18" s="733"/>
      <c r="M18" s="725"/>
      <c r="N18" s="725"/>
      <c r="O18" s="725"/>
      <c r="P18" s="733"/>
      <c r="Q18" s="725"/>
      <c r="R18" s="725"/>
      <c r="S18" s="725"/>
    </row>
    <row r="19" spans="1:19">
      <c r="A19" s="747">
        <f t="shared" ref="A19:A82" si="4">A18+0.01</f>
        <v>2.0299999999999994</v>
      </c>
      <c r="B19" s="725"/>
      <c r="C19" s="733">
        <f t="shared" si="0"/>
        <v>0</v>
      </c>
      <c r="D19" s="733">
        <f t="shared" si="1"/>
        <v>0</v>
      </c>
      <c r="E19" s="733"/>
      <c r="F19" s="733"/>
      <c r="G19" s="733">
        <f t="shared" si="2"/>
        <v>0</v>
      </c>
      <c r="H19" s="733"/>
      <c r="I19" s="733">
        <f t="shared" si="3"/>
        <v>0</v>
      </c>
      <c r="J19" s="733">
        <f t="shared" si="3"/>
        <v>0</v>
      </c>
      <c r="K19" s="733">
        <f t="shared" si="3"/>
        <v>0</v>
      </c>
      <c r="L19" s="733"/>
      <c r="M19" s="725"/>
      <c r="N19" s="725"/>
      <c r="O19" s="725"/>
      <c r="P19" s="733"/>
      <c r="Q19" s="725"/>
      <c r="R19" s="725"/>
      <c r="S19" s="725"/>
    </row>
    <row r="20" spans="1:19">
      <c r="A20" s="747">
        <f t="shared" si="4"/>
        <v>2.0399999999999991</v>
      </c>
      <c r="B20" s="725"/>
      <c r="C20" s="733">
        <f t="shared" si="0"/>
        <v>0</v>
      </c>
      <c r="D20" s="733">
        <f t="shared" si="1"/>
        <v>0</v>
      </c>
      <c r="E20" s="733"/>
      <c r="F20" s="733"/>
      <c r="G20" s="733">
        <f t="shared" si="2"/>
        <v>0</v>
      </c>
      <c r="H20" s="733"/>
      <c r="I20" s="733">
        <f t="shared" si="3"/>
        <v>0</v>
      </c>
      <c r="J20" s="733">
        <f t="shared" si="3"/>
        <v>0</v>
      </c>
      <c r="K20" s="733">
        <f t="shared" si="3"/>
        <v>0</v>
      </c>
      <c r="L20" s="733"/>
      <c r="M20" s="725"/>
      <c r="N20" s="725"/>
      <c r="O20" s="725"/>
      <c r="P20" s="733"/>
      <c r="Q20" s="725"/>
      <c r="R20" s="725"/>
      <c r="S20" s="725"/>
    </row>
    <row r="21" spans="1:19">
      <c r="A21" s="747">
        <f t="shared" si="4"/>
        <v>2.0499999999999989</v>
      </c>
      <c r="B21" s="725"/>
      <c r="C21" s="733">
        <f t="shared" si="0"/>
        <v>0</v>
      </c>
      <c r="D21" s="733">
        <f t="shared" si="1"/>
        <v>0</v>
      </c>
      <c r="E21" s="733"/>
      <c r="F21" s="733"/>
      <c r="G21" s="733">
        <f t="shared" si="2"/>
        <v>0</v>
      </c>
      <c r="H21" s="733"/>
      <c r="I21" s="733">
        <f t="shared" si="3"/>
        <v>0</v>
      </c>
      <c r="J21" s="733">
        <f t="shared" si="3"/>
        <v>0</v>
      </c>
      <c r="K21" s="733">
        <f t="shared" si="3"/>
        <v>0</v>
      </c>
      <c r="L21" s="733"/>
      <c r="M21" s="725"/>
      <c r="N21" s="725"/>
      <c r="O21" s="725"/>
      <c r="P21" s="733"/>
      <c r="Q21" s="725"/>
      <c r="R21" s="725"/>
      <c r="S21" s="725"/>
    </row>
    <row r="22" spans="1:19" hidden="1">
      <c r="A22" s="747">
        <f t="shared" si="4"/>
        <v>2.0599999999999987</v>
      </c>
      <c r="B22" s="725"/>
      <c r="C22" s="733">
        <f t="shared" si="0"/>
        <v>0</v>
      </c>
      <c r="D22" s="733">
        <f t="shared" si="1"/>
        <v>0</v>
      </c>
      <c r="E22" s="733"/>
      <c r="F22" s="733"/>
      <c r="G22" s="733">
        <f t="shared" si="2"/>
        <v>0</v>
      </c>
      <c r="H22" s="733"/>
      <c r="I22" s="733">
        <f t="shared" si="3"/>
        <v>0</v>
      </c>
      <c r="J22" s="733">
        <f t="shared" si="3"/>
        <v>0</v>
      </c>
      <c r="K22" s="733">
        <f t="shared" si="3"/>
        <v>0</v>
      </c>
      <c r="L22" s="733"/>
      <c r="M22" s="725"/>
      <c r="N22" s="725"/>
      <c r="O22" s="725"/>
      <c r="P22" s="733"/>
      <c r="Q22" s="725"/>
      <c r="R22" s="725"/>
      <c r="S22" s="725"/>
    </row>
    <row r="23" spans="1:19" hidden="1">
      <c r="A23" s="747">
        <f t="shared" si="4"/>
        <v>2.0699999999999985</v>
      </c>
      <c r="B23" s="725"/>
      <c r="C23" s="733">
        <f t="shared" si="0"/>
        <v>0</v>
      </c>
      <c r="D23" s="733">
        <f t="shared" si="1"/>
        <v>0</v>
      </c>
      <c r="E23" s="733"/>
      <c r="F23" s="733"/>
      <c r="G23" s="733">
        <f t="shared" si="2"/>
        <v>0</v>
      </c>
      <c r="H23" s="733"/>
      <c r="I23" s="733">
        <f t="shared" si="3"/>
        <v>0</v>
      </c>
      <c r="J23" s="733">
        <f t="shared" si="3"/>
        <v>0</v>
      </c>
      <c r="K23" s="733">
        <f t="shared" si="3"/>
        <v>0</v>
      </c>
      <c r="L23" s="733"/>
      <c r="M23" s="725"/>
      <c r="N23" s="725"/>
      <c r="O23" s="725"/>
      <c r="P23" s="733"/>
      <c r="Q23" s="725"/>
      <c r="R23" s="725"/>
      <c r="S23" s="725"/>
    </row>
    <row r="24" spans="1:19" hidden="1">
      <c r="A24" s="747">
        <f t="shared" si="4"/>
        <v>2.0799999999999983</v>
      </c>
      <c r="B24" s="725"/>
      <c r="C24" s="733">
        <f t="shared" si="0"/>
        <v>0</v>
      </c>
      <c r="D24" s="733">
        <f t="shared" si="1"/>
        <v>0</v>
      </c>
      <c r="E24" s="733"/>
      <c r="F24" s="733"/>
      <c r="G24" s="733">
        <f t="shared" si="2"/>
        <v>0</v>
      </c>
      <c r="H24" s="733"/>
      <c r="I24" s="733">
        <f t="shared" si="3"/>
        <v>0</v>
      </c>
      <c r="J24" s="733">
        <f t="shared" si="3"/>
        <v>0</v>
      </c>
      <c r="K24" s="733">
        <f t="shared" si="3"/>
        <v>0</v>
      </c>
      <c r="L24" s="733"/>
      <c r="M24" s="725"/>
      <c r="N24" s="725"/>
      <c r="O24" s="725"/>
      <c r="P24" s="733"/>
      <c r="Q24" s="725"/>
      <c r="R24" s="725"/>
      <c r="S24" s="725"/>
    </row>
    <row r="25" spans="1:19" hidden="1">
      <c r="A25" s="747">
        <f t="shared" si="4"/>
        <v>2.0899999999999981</v>
      </c>
      <c r="B25" s="725"/>
      <c r="C25" s="733">
        <f t="shared" si="0"/>
        <v>0</v>
      </c>
      <c r="D25" s="733">
        <f t="shared" si="1"/>
        <v>0</v>
      </c>
      <c r="E25" s="733"/>
      <c r="F25" s="733"/>
      <c r="G25" s="733">
        <f t="shared" si="2"/>
        <v>0</v>
      </c>
      <c r="H25" s="733"/>
      <c r="I25" s="733">
        <f t="shared" si="3"/>
        <v>0</v>
      </c>
      <c r="J25" s="733">
        <f t="shared" si="3"/>
        <v>0</v>
      </c>
      <c r="K25" s="733">
        <f t="shared" si="3"/>
        <v>0</v>
      </c>
      <c r="L25" s="733"/>
      <c r="M25" s="725"/>
      <c r="N25" s="725"/>
      <c r="O25" s="725"/>
      <c r="P25" s="733"/>
      <c r="Q25" s="725"/>
      <c r="R25" s="725"/>
      <c r="S25" s="725"/>
    </row>
    <row r="26" spans="1:19" hidden="1">
      <c r="A26" s="747">
        <f t="shared" si="4"/>
        <v>2.0999999999999979</v>
      </c>
      <c r="B26" s="725"/>
      <c r="C26" s="733">
        <f t="shared" si="0"/>
        <v>0</v>
      </c>
      <c r="D26" s="733">
        <f t="shared" si="1"/>
        <v>0</v>
      </c>
      <c r="E26" s="733"/>
      <c r="F26" s="733"/>
      <c r="G26" s="733">
        <f t="shared" si="2"/>
        <v>0</v>
      </c>
      <c r="H26" s="733"/>
      <c r="I26" s="733">
        <f t="shared" si="3"/>
        <v>0</v>
      </c>
      <c r="J26" s="733">
        <f t="shared" si="3"/>
        <v>0</v>
      </c>
      <c r="K26" s="733">
        <f t="shared" si="3"/>
        <v>0</v>
      </c>
      <c r="L26" s="733"/>
      <c r="M26" s="725"/>
      <c r="N26" s="725"/>
      <c r="O26" s="725"/>
      <c r="P26" s="733"/>
      <c r="Q26" s="725"/>
      <c r="R26" s="725"/>
      <c r="S26" s="725"/>
    </row>
    <row r="27" spans="1:19" hidden="1">
      <c r="A27" s="747">
        <f t="shared" si="4"/>
        <v>2.1099999999999977</v>
      </c>
      <c r="B27" s="725"/>
      <c r="C27" s="733">
        <f t="shared" si="0"/>
        <v>0</v>
      </c>
      <c r="D27" s="733">
        <f t="shared" si="1"/>
        <v>0</v>
      </c>
      <c r="E27" s="733"/>
      <c r="F27" s="733"/>
      <c r="G27" s="733">
        <f t="shared" si="2"/>
        <v>0</v>
      </c>
      <c r="H27" s="733"/>
      <c r="I27" s="733">
        <f t="shared" si="3"/>
        <v>0</v>
      </c>
      <c r="J27" s="733">
        <f t="shared" si="3"/>
        <v>0</v>
      </c>
      <c r="K27" s="733">
        <f t="shared" si="3"/>
        <v>0</v>
      </c>
      <c r="L27" s="733"/>
      <c r="M27" s="725"/>
      <c r="N27" s="725"/>
      <c r="O27" s="725"/>
      <c r="P27" s="733"/>
      <c r="Q27" s="725"/>
      <c r="R27" s="725"/>
      <c r="S27" s="725"/>
    </row>
    <row r="28" spans="1:19" hidden="1">
      <c r="A28" s="747">
        <f t="shared" si="4"/>
        <v>2.1199999999999974</v>
      </c>
      <c r="B28" s="725"/>
      <c r="C28" s="733">
        <f t="shared" si="0"/>
        <v>0</v>
      </c>
      <c r="D28" s="733">
        <f t="shared" si="1"/>
        <v>0</v>
      </c>
      <c r="E28" s="733"/>
      <c r="F28" s="733"/>
      <c r="G28" s="733">
        <f t="shared" si="2"/>
        <v>0</v>
      </c>
      <c r="H28" s="733"/>
      <c r="I28" s="733">
        <f t="shared" si="3"/>
        <v>0</v>
      </c>
      <c r="J28" s="733">
        <f t="shared" si="3"/>
        <v>0</v>
      </c>
      <c r="K28" s="733">
        <f t="shared" si="3"/>
        <v>0</v>
      </c>
      <c r="L28" s="733"/>
      <c r="M28" s="725"/>
      <c r="N28" s="725"/>
      <c r="O28" s="725"/>
      <c r="P28" s="733"/>
      <c r="Q28" s="725"/>
      <c r="R28" s="725"/>
      <c r="S28" s="725"/>
    </row>
    <row r="29" spans="1:19" hidden="1">
      <c r="A29" s="747">
        <f t="shared" si="4"/>
        <v>2.1299999999999972</v>
      </c>
      <c r="B29" s="725"/>
      <c r="C29" s="733">
        <f t="shared" si="0"/>
        <v>0</v>
      </c>
      <c r="D29" s="733">
        <f t="shared" si="1"/>
        <v>0</v>
      </c>
      <c r="E29" s="733"/>
      <c r="F29" s="733"/>
      <c r="G29" s="733">
        <f t="shared" si="2"/>
        <v>0</v>
      </c>
      <c r="H29" s="733"/>
      <c r="I29" s="733">
        <f t="shared" si="3"/>
        <v>0</v>
      </c>
      <c r="J29" s="733">
        <f t="shared" si="3"/>
        <v>0</v>
      </c>
      <c r="K29" s="733">
        <f t="shared" si="3"/>
        <v>0</v>
      </c>
      <c r="L29" s="733"/>
      <c r="M29" s="725"/>
      <c r="N29" s="725"/>
      <c r="O29" s="725"/>
      <c r="P29" s="733"/>
      <c r="Q29" s="725"/>
      <c r="R29" s="725"/>
      <c r="S29" s="725"/>
    </row>
    <row r="30" spans="1:19" hidden="1">
      <c r="A30" s="747">
        <f t="shared" si="4"/>
        <v>2.139999999999997</v>
      </c>
      <c r="B30" s="725"/>
      <c r="C30" s="733">
        <f t="shared" si="0"/>
        <v>0</v>
      </c>
      <c r="D30" s="733">
        <f t="shared" si="1"/>
        <v>0</v>
      </c>
      <c r="E30" s="733"/>
      <c r="F30" s="733"/>
      <c r="G30" s="733">
        <f t="shared" si="2"/>
        <v>0</v>
      </c>
      <c r="H30" s="733"/>
      <c r="I30" s="733">
        <f t="shared" si="3"/>
        <v>0</v>
      </c>
      <c r="J30" s="733">
        <f t="shared" si="3"/>
        <v>0</v>
      </c>
      <c r="K30" s="733">
        <f t="shared" si="3"/>
        <v>0</v>
      </c>
      <c r="L30" s="733"/>
      <c r="M30" s="725"/>
      <c r="N30" s="725"/>
      <c r="O30" s="725"/>
      <c r="P30" s="733"/>
      <c r="Q30" s="725"/>
      <c r="R30" s="725"/>
      <c r="S30" s="725"/>
    </row>
    <row r="31" spans="1:19" hidden="1">
      <c r="A31" s="747">
        <f t="shared" si="4"/>
        <v>2.1499999999999968</v>
      </c>
      <c r="B31" s="725"/>
      <c r="C31" s="733">
        <f t="shared" si="0"/>
        <v>0</v>
      </c>
      <c r="D31" s="733">
        <f t="shared" si="1"/>
        <v>0</v>
      </c>
      <c r="E31" s="733"/>
      <c r="F31" s="733"/>
      <c r="G31" s="733">
        <f t="shared" si="2"/>
        <v>0</v>
      </c>
      <c r="H31" s="733"/>
      <c r="I31" s="733">
        <f t="shared" si="3"/>
        <v>0</v>
      </c>
      <c r="J31" s="733">
        <f t="shared" si="3"/>
        <v>0</v>
      </c>
      <c r="K31" s="733">
        <f t="shared" si="3"/>
        <v>0</v>
      </c>
      <c r="L31" s="733"/>
      <c r="M31" s="725"/>
      <c r="N31" s="725"/>
      <c r="O31" s="725"/>
      <c r="P31" s="733"/>
      <c r="Q31" s="725"/>
      <c r="R31" s="725"/>
      <c r="S31" s="725"/>
    </row>
    <row r="32" spans="1:19" hidden="1">
      <c r="A32" s="747">
        <f t="shared" si="4"/>
        <v>2.1599999999999966</v>
      </c>
      <c r="B32" s="725"/>
      <c r="C32" s="733">
        <f t="shared" si="0"/>
        <v>0</v>
      </c>
      <c r="D32" s="733">
        <f t="shared" si="1"/>
        <v>0</v>
      </c>
      <c r="E32" s="733"/>
      <c r="F32" s="733"/>
      <c r="G32" s="733">
        <f t="shared" si="2"/>
        <v>0</v>
      </c>
      <c r="H32" s="733"/>
      <c r="I32" s="733">
        <f t="shared" si="3"/>
        <v>0</v>
      </c>
      <c r="J32" s="733">
        <f t="shared" si="3"/>
        <v>0</v>
      </c>
      <c r="K32" s="733">
        <f t="shared" si="3"/>
        <v>0</v>
      </c>
      <c r="L32" s="733"/>
      <c r="M32" s="725"/>
      <c r="N32" s="725"/>
      <c r="O32" s="725"/>
      <c r="P32" s="733"/>
      <c r="Q32" s="725"/>
      <c r="R32" s="725"/>
      <c r="S32" s="725"/>
    </row>
    <row r="33" spans="1:19" hidden="1">
      <c r="A33" s="747">
        <f t="shared" si="4"/>
        <v>2.1699999999999964</v>
      </c>
      <c r="B33" s="725"/>
      <c r="C33" s="733">
        <f t="shared" si="0"/>
        <v>0</v>
      </c>
      <c r="D33" s="733">
        <f t="shared" si="1"/>
        <v>0</v>
      </c>
      <c r="E33" s="733"/>
      <c r="F33" s="733"/>
      <c r="G33" s="733">
        <f t="shared" si="2"/>
        <v>0</v>
      </c>
      <c r="H33" s="733"/>
      <c r="I33" s="733">
        <f t="shared" si="3"/>
        <v>0</v>
      </c>
      <c r="J33" s="733">
        <f t="shared" si="3"/>
        <v>0</v>
      </c>
      <c r="K33" s="733">
        <f t="shared" si="3"/>
        <v>0</v>
      </c>
      <c r="L33" s="733"/>
      <c r="M33" s="725"/>
      <c r="N33" s="725"/>
      <c r="O33" s="725"/>
      <c r="P33" s="733"/>
      <c r="Q33" s="725"/>
      <c r="R33" s="725"/>
      <c r="S33" s="725"/>
    </row>
    <row r="34" spans="1:19" hidden="1">
      <c r="A34" s="747">
        <f t="shared" si="4"/>
        <v>2.1799999999999962</v>
      </c>
      <c r="B34" s="725"/>
      <c r="C34" s="733">
        <f t="shared" si="0"/>
        <v>0</v>
      </c>
      <c r="D34" s="733">
        <f t="shared" si="1"/>
        <v>0</v>
      </c>
      <c r="E34" s="733"/>
      <c r="F34" s="733"/>
      <c r="G34" s="733">
        <f t="shared" si="2"/>
        <v>0</v>
      </c>
      <c r="H34" s="733"/>
      <c r="I34" s="733">
        <f t="shared" si="3"/>
        <v>0</v>
      </c>
      <c r="J34" s="733">
        <f t="shared" si="3"/>
        <v>0</v>
      </c>
      <c r="K34" s="733">
        <f t="shared" si="3"/>
        <v>0</v>
      </c>
      <c r="L34" s="733"/>
      <c r="M34" s="725"/>
      <c r="N34" s="725"/>
      <c r="O34" s="725"/>
      <c r="P34" s="733"/>
      <c r="Q34" s="725"/>
      <c r="R34" s="725"/>
      <c r="S34" s="725"/>
    </row>
    <row r="35" spans="1:19" hidden="1">
      <c r="A35" s="747">
        <f t="shared" si="4"/>
        <v>2.1899999999999959</v>
      </c>
      <c r="B35" s="725"/>
      <c r="C35" s="733">
        <f t="shared" si="0"/>
        <v>0</v>
      </c>
      <c r="D35" s="733">
        <f t="shared" si="1"/>
        <v>0</v>
      </c>
      <c r="E35" s="733"/>
      <c r="F35" s="733"/>
      <c r="G35" s="733">
        <f t="shared" si="2"/>
        <v>0</v>
      </c>
      <c r="H35" s="733"/>
      <c r="I35" s="733">
        <f t="shared" si="3"/>
        <v>0</v>
      </c>
      <c r="J35" s="733">
        <f t="shared" si="3"/>
        <v>0</v>
      </c>
      <c r="K35" s="733">
        <f t="shared" si="3"/>
        <v>0</v>
      </c>
      <c r="L35" s="733"/>
      <c r="M35" s="725"/>
      <c r="N35" s="725"/>
      <c r="O35" s="725"/>
      <c r="P35" s="733"/>
      <c r="Q35" s="725"/>
      <c r="R35" s="725"/>
      <c r="S35" s="725"/>
    </row>
    <row r="36" spans="1:19" hidden="1">
      <c r="A36" s="747">
        <f t="shared" si="4"/>
        <v>2.1999999999999957</v>
      </c>
      <c r="B36" s="725"/>
      <c r="C36" s="733">
        <f t="shared" si="0"/>
        <v>0</v>
      </c>
      <c r="D36" s="733">
        <f t="shared" si="1"/>
        <v>0</v>
      </c>
      <c r="E36" s="733"/>
      <c r="F36" s="733"/>
      <c r="G36" s="733">
        <f t="shared" si="2"/>
        <v>0</v>
      </c>
      <c r="H36" s="733"/>
      <c r="I36" s="733">
        <f t="shared" si="3"/>
        <v>0</v>
      </c>
      <c r="J36" s="733">
        <f t="shared" si="3"/>
        <v>0</v>
      </c>
      <c r="K36" s="733">
        <f t="shared" si="3"/>
        <v>0</v>
      </c>
      <c r="L36" s="733"/>
      <c r="M36" s="725"/>
      <c r="N36" s="725"/>
      <c r="O36" s="725"/>
      <c r="P36" s="733"/>
      <c r="Q36" s="725"/>
      <c r="R36" s="725"/>
      <c r="S36" s="725"/>
    </row>
    <row r="37" spans="1:19" hidden="1">
      <c r="A37" s="747">
        <f t="shared" si="4"/>
        <v>2.2099999999999955</v>
      </c>
      <c r="B37" s="725"/>
      <c r="C37" s="733">
        <f t="shared" si="0"/>
        <v>0</v>
      </c>
      <c r="D37" s="733">
        <f t="shared" si="1"/>
        <v>0</v>
      </c>
      <c r="E37" s="733"/>
      <c r="F37" s="733"/>
      <c r="G37" s="733">
        <f t="shared" si="2"/>
        <v>0</v>
      </c>
      <c r="H37" s="733"/>
      <c r="I37" s="733">
        <f t="shared" si="3"/>
        <v>0</v>
      </c>
      <c r="J37" s="733">
        <f t="shared" si="3"/>
        <v>0</v>
      </c>
      <c r="K37" s="733">
        <f t="shared" si="3"/>
        <v>0</v>
      </c>
      <c r="L37" s="733"/>
      <c r="M37" s="725"/>
      <c r="N37" s="725"/>
      <c r="O37" s="725"/>
      <c r="P37" s="733"/>
      <c r="Q37" s="725"/>
      <c r="R37" s="725"/>
      <c r="S37" s="725"/>
    </row>
    <row r="38" spans="1:19" hidden="1">
      <c r="A38" s="747">
        <f t="shared" si="4"/>
        <v>2.2199999999999953</v>
      </c>
      <c r="B38" s="725"/>
      <c r="C38" s="733">
        <f t="shared" si="0"/>
        <v>0</v>
      </c>
      <c r="D38" s="733">
        <f t="shared" si="1"/>
        <v>0</v>
      </c>
      <c r="E38" s="733"/>
      <c r="F38" s="733"/>
      <c r="G38" s="733">
        <f t="shared" si="2"/>
        <v>0</v>
      </c>
      <c r="H38" s="733"/>
      <c r="I38" s="733">
        <f t="shared" si="3"/>
        <v>0</v>
      </c>
      <c r="J38" s="733">
        <f t="shared" si="3"/>
        <v>0</v>
      </c>
      <c r="K38" s="733">
        <f t="shared" si="3"/>
        <v>0</v>
      </c>
      <c r="L38" s="733"/>
      <c r="M38" s="725"/>
      <c r="N38" s="725"/>
      <c r="O38" s="725"/>
      <c r="P38" s="733"/>
      <c r="Q38" s="725"/>
      <c r="R38" s="725"/>
      <c r="S38" s="725"/>
    </row>
    <row r="39" spans="1:19" hidden="1">
      <c r="A39" s="747">
        <f t="shared" si="4"/>
        <v>2.2299999999999951</v>
      </c>
      <c r="B39" s="725"/>
      <c r="C39" s="733">
        <f t="shared" si="0"/>
        <v>0</v>
      </c>
      <c r="D39" s="733">
        <f t="shared" si="1"/>
        <v>0</v>
      </c>
      <c r="E39" s="733"/>
      <c r="F39" s="733"/>
      <c r="G39" s="733">
        <f t="shared" si="2"/>
        <v>0</v>
      </c>
      <c r="H39" s="733"/>
      <c r="I39" s="733">
        <f t="shared" si="3"/>
        <v>0</v>
      </c>
      <c r="J39" s="733">
        <f t="shared" si="3"/>
        <v>0</v>
      </c>
      <c r="K39" s="733">
        <f t="shared" si="3"/>
        <v>0</v>
      </c>
      <c r="L39" s="733"/>
      <c r="M39" s="725"/>
      <c r="N39" s="725"/>
      <c r="O39" s="725"/>
      <c r="P39" s="733"/>
      <c r="Q39" s="725"/>
      <c r="R39" s="725"/>
      <c r="S39" s="725"/>
    </row>
    <row r="40" spans="1:19" hidden="1">
      <c r="A40" s="747">
        <f t="shared" si="4"/>
        <v>2.2399999999999949</v>
      </c>
      <c r="B40" s="725"/>
      <c r="C40" s="733">
        <f t="shared" si="0"/>
        <v>0</v>
      </c>
      <c r="D40" s="733">
        <f t="shared" si="1"/>
        <v>0</v>
      </c>
      <c r="E40" s="733"/>
      <c r="F40" s="733"/>
      <c r="G40" s="733">
        <f t="shared" si="2"/>
        <v>0</v>
      </c>
      <c r="H40" s="733"/>
      <c r="I40" s="733">
        <f t="shared" si="3"/>
        <v>0</v>
      </c>
      <c r="J40" s="733">
        <f t="shared" si="3"/>
        <v>0</v>
      </c>
      <c r="K40" s="733">
        <f t="shared" si="3"/>
        <v>0</v>
      </c>
      <c r="L40" s="733"/>
      <c r="M40" s="725"/>
      <c r="N40" s="725"/>
      <c r="O40" s="725"/>
      <c r="P40" s="733"/>
      <c r="Q40" s="725"/>
      <c r="R40" s="725"/>
      <c r="S40" s="725"/>
    </row>
    <row r="41" spans="1:19" hidden="1">
      <c r="A41" s="747">
        <f t="shared" si="4"/>
        <v>2.2499999999999947</v>
      </c>
      <c r="B41" s="725"/>
      <c r="C41" s="733">
        <f t="shared" si="0"/>
        <v>0</v>
      </c>
      <c r="D41" s="733">
        <f t="shared" si="1"/>
        <v>0</v>
      </c>
      <c r="E41" s="733"/>
      <c r="F41" s="733"/>
      <c r="G41" s="733">
        <f t="shared" si="2"/>
        <v>0</v>
      </c>
      <c r="H41" s="733"/>
      <c r="I41" s="733">
        <f t="shared" si="3"/>
        <v>0</v>
      </c>
      <c r="J41" s="733">
        <f t="shared" si="3"/>
        <v>0</v>
      </c>
      <c r="K41" s="733">
        <f t="shared" si="3"/>
        <v>0</v>
      </c>
      <c r="L41" s="733"/>
      <c r="M41" s="725"/>
      <c r="N41" s="725"/>
      <c r="O41" s="725"/>
      <c r="P41" s="733"/>
      <c r="Q41" s="725"/>
      <c r="R41" s="725"/>
      <c r="S41" s="725"/>
    </row>
    <row r="42" spans="1:19" hidden="1">
      <c r="A42" s="747">
        <f t="shared" si="4"/>
        <v>2.2599999999999945</v>
      </c>
      <c r="B42" s="725"/>
      <c r="C42" s="733">
        <f t="shared" si="0"/>
        <v>0</v>
      </c>
      <c r="D42" s="733">
        <f t="shared" si="1"/>
        <v>0</v>
      </c>
      <c r="E42" s="733"/>
      <c r="F42" s="733"/>
      <c r="G42" s="733">
        <f t="shared" si="2"/>
        <v>0</v>
      </c>
      <c r="H42" s="733"/>
      <c r="I42" s="733">
        <f t="shared" si="3"/>
        <v>0</v>
      </c>
      <c r="J42" s="733">
        <f t="shared" si="3"/>
        <v>0</v>
      </c>
      <c r="K42" s="733">
        <f t="shared" si="3"/>
        <v>0</v>
      </c>
      <c r="L42" s="733"/>
      <c r="M42" s="725"/>
      <c r="N42" s="725"/>
      <c r="O42" s="725"/>
      <c r="P42" s="733"/>
      <c r="Q42" s="725"/>
      <c r="R42" s="725"/>
      <c r="S42" s="725"/>
    </row>
    <row r="43" spans="1:19" hidden="1">
      <c r="A43" s="747">
        <f t="shared" si="4"/>
        <v>2.2699999999999942</v>
      </c>
      <c r="B43" s="725"/>
      <c r="C43" s="733">
        <f t="shared" si="0"/>
        <v>0</v>
      </c>
      <c r="D43" s="733">
        <f t="shared" si="1"/>
        <v>0</v>
      </c>
      <c r="E43" s="733"/>
      <c r="F43" s="733"/>
      <c r="G43" s="733">
        <f t="shared" si="2"/>
        <v>0</v>
      </c>
      <c r="H43" s="733"/>
      <c r="I43" s="733">
        <f t="shared" si="3"/>
        <v>0</v>
      </c>
      <c r="J43" s="733">
        <f t="shared" si="3"/>
        <v>0</v>
      </c>
      <c r="K43" s="733">
        <f t="shared" si="3"/>
        <v>0</v>
      </c>
      <c r="L43" s="733"/>
      <c r="M43" s="725"/>
      <c r="N43" s="725"/>
      <c r="O43" s="725"/>
      <c r="P43" s="733"/>
      <c r="Q43" s="725"/>
      <c r="R43" s="725"/>
      <c r="S43" s="725"/>
    </row>
    <row r="44" spans="1:19" hidden="1">
      <c r="A44" s="747">
        <f t="shared" si="4"/>
        <v>2.279999999999994</v>
      </c>
      <c r="B44" s="725"/>
      <c r="C44" s="733">
        <f t="shared" si="0"/>
        <v>0</v>
      </c>
      <c r="D44" s="733">
        <f t="shared" si="1"/>
        <v>0</v>
      </c>
      <c r="E44" s="733"/>
      <c r="F44" s="733"/>
      <c r="G44" s="733">
        <f t="shared" si="2"/>
        <v>0</v>
      </c>
      <c r="H44" s="733"/>
      <c r="I44" s="733">
        <f t="shared" si="3"/>
        <v>0</v>
      </c>
      <c r="J44" s="733">
        <f t="shared" si="3"/>
        <v>0</v>
      </c>
      <c r="K44" s="733">
        <f t="shared" si="3"/>
        <v>0</v>
      </c>
      <c r="L44" s="733"/>
      <c r="M44" s="725"/>
      <c r="N44" s="725"/>
      <c r="O44" s="725"/>
      <c r="P44" s="733"/>
      <c r="Q44" s="725"/>
      <c r="R44" s="725"/>
      <c r="S44" s="725"/>
    </row>
    <row r="45" spans="1:19" hidden="1">
      <c r="A45" s="747">
        <f t="shared" si="4"/>
        <v>2.2899999999999938</v>
      </c>
      <c r="B45" s="725"/>
      <c r="C45" s="733">
        <f t="shared" si="0"/>
        <v>0</v>
      </c>
      <c r="D45" s="733">
        <f t="shared" si="1"/>
        <v>0</v>
      </c>
      <c r="E45" s="733"/>
      <c r="F45" s="733"/>
      <c r="G45" s="733">
        <f t="shared" si="2"/>
        <v>0</v>
      </c>
      <c r="H45" s="733"/>
      <c r="I45" s="733">
        <f t="shared" si="3"/>
        <v>0</v>
      </c>
      <c r="J45" s="733">
        <f t="shared" si="3"/>
        <v>0</v>
      </c>
      <c r="K45" s="733">
        <f t="shared" si="3"/>
        <v>0</v>
      </c>
      <c r="L45" s="733"/>
      <c r="M45" s="725"/>
      <c r="N45" s="725"/>
      <c r="O45" s="725"/>
      <c r="P45" s="733"/>
      <c r="Q45" s="725"/>
      <c r="R45" s="725"/>
      <c r="S45" s="725"/>
    </row>
    <row r="46" spans="1:19" hidden="1">
      <c r="A46" s="747">
        <f t="shared" si="4"/>
        <v>2.2999999999999936</v>
      </c>
      <c r="B46" s="725"/>
      <c r="C46" s="733">
        <f t="shared" si="0"/>
        <v>0</v>
      </c>
      <c r="D46" s="733">
        <f t="shared" si="1"/>
        <v>0</v>
      </c>
      <c r="E46" s="733"/>
      <c r="F46" s="733"/>
      <c r="G46" s="733">
        <f t="shared" si="2"/>
        <v>0</v>
      </c>
      <c r="H46" s="733"/>
      <c r="I46" s="733">
        <f t="shared" si="3"/>
        <v>0</v>
      </c>
      <c r="J46" s="733">
        <f t="shared" si="3"/>
        <v>0</v>
      </c>
      <c r="K46" s="733">
        <f t="shared" si="3"/>
        <v>0</v>
      </c>
      <c r="L46" s="733"/>
      <c r="M46" s="725"/>
      <c r="N46" s="725"/>
      <c r="O46" s="725"/>
      <c r="P46" s="733"/>
      <c r="Q46" s="725"/>
      <c r="R46" s="725"/>
      <c r="S46" s="725"/>
    </row>
    <row r="47" spans="1:19" hidden="1">
      <c r="A47" s="747">
        <f t="shared" si="4"/>
        <v>2.3099999999999934</v>
      </c>
      <c r="B47" s="725"/>
      <c r="C47" s="733">
        <f t="shared" si="0"/>
        <v>0</v>
      </c>
      <c r="D47" s="733">
        <f t="shared" si="1"/>
        <v>0</v>
      </c>
      <c r="E47" s="733"/>
      <c r="F47" s="733"/>
      <c r="G47" s="733">
        <f t="shared" si="2"/>
        <v>0</v>
      </c>
      <c r="H47" s="733"/>
      <c r="I47" s="733">
        <f t="shared" si="3"/>
        <v>0</v>
      </c>
      <c r="J47" s="733">
        <f t="shared" si="3"/>
        <v>0</v>
      </c>
      <c r="K47" s="733">
        <f t="shared" si="3"/>
        <v>0</v>
      </c>
      <c r="L47" s="733"/>
      <c r="M47" s="725"/>
      <c r="N47" s="725"/>
      <c r="O47" s="725"/>
      <c r="P47" s="733"/>
      <c r="Q47" s="725"/>
      <c r="R47" s="725"/>
      <c r="S47" s="725"/>
    </row>
    <row r="48" spans="1:19" hidden="1">
      <c r="A48" s="747">
        <f t="shared" si="4"/>
        <v>2.3199999999999932</v>
      </c>
      <c r="B48" s="725"/>
      <c r="C48" s="733">
        <f t="shared" si="0"/>
        <v>0</v>
      </c>
      <c r="D48" s="733">
        <f t="shared" si="1"/>
        <v>0</v>
      </c>
      <c r="E48" s="733"/>
      <c r="F48" s="733"/>
      <c r="G48" s="733">
        <f t="shared" si="2"/>
        <v>0</v>
      </c>
      <c r="H48" s="733"/>
      <c r="I48" s="733">
        <f t="shared" si="3"/>
        <v>0</v>
      </c>
      <c r="J48" s="733">
        <f t="shared" si="3"/>
        <v>0</v>
      </c>
      <c r="K48" s="733">
        <f t="shared" si="3"/>
        <v>0</v>
      </c>
      <c r="L48" s="733"/>
      <c r="M48" s="725"/>
      <c r="N48" s="725"/>
      <c r="O48" s="725"/>
      <c r="P48" s="733"/>
      <c r="Q48" s="725"/>
      <c r="R48" s="725"/>
      <c r="S48" s="725"/>
    </row>
    <row r="49" spans="1:19" hidden="1">
      <c r="A49" s="747">
        <f t="shared" si="4"/>
        <v>2.329999999999993</v>
      </c>
      <c r="B49" s="725"/>
      <c r="C49" s="733">
        <f t="shared" si="0"/>
        <v>0</v>
      </c>
      <c r="D49" s="733">
        <f t="shared" si="1"/>
        <v>0</v>
      </c>
      <c r="E49" s="733"/>
      <c r="F49" s="733"/>
      <c r="G49" s="733">
        <f t="shared" si="2"/>
        <v>0</v>
      </c>
      <c r="H49" s="733"/>
      <c r="I49" s="733">
        <f t="shared" ref="I49:K80" si="5">(M49+Q49)/2</f>
        <v>0</v>
      </c>
      <c r="J49" s="733">
        <f t="shared" si="5"/>
        <v>0</v>
      </c>
      <c r="K49" s="733">
        <f t="shared" si="5"/>
        <v>0</v>
      </c>
      <c r="L49" s="733"/>
      <c r="M49" s="725"/>
      <c r="N49" s="725"/>
      <c r="O49" s="725"/>
      <c r="P49" s="733"/>
      <c r="Q49" s="725"/>
      <c r="R49" s="725"/>
      <c r="S49" s="725"/>
    </row>
    <row r="50" spans="1:19" hidden="1">
      <c r="A50" s="747">
        <f t="shared" si="4"/>
        <v>2.3399999999999928</v>
      </c>
      <c r="B50" s="725"/>
      <c r="C50" s="733">
        <f t="shared" si="0"/>
        <v>0</v>
      </c>
      <c r="D50" s="733">
        <f t="shared" si="1"/>
        <v>0</v>
      </c>
      <c r="E50" s="733"/>
      <c r="F50" s="733"/>
      <c r="G50" s="733">
        <f t="shared" si="2"/>
        <v>0</v>
      </c>
      <c r="H50" s="733"/>
      <c r="I50" s="733">
        <f t="shared" si="5"/>
        <v>0</v>
      </c>
      <c r="J50" s="733">
        <f t="shared" si="5"/>
        <v>0</v>
      </c>
      <c r="K50" s="733">
        <f t="shared" si="5"/>
        <v>0</v>
      </c>
      <c r="L50" s="733"/>
      <c r="M50" s="725"/>
      <c r="N50" s="725"/>
      <c r="O50" s="725"/>
      <c r="P50" s="733"/>
      <c r="Q50" s="725"/>
      <c r="R50" s="725"/>
      <c r="S50" s="725"/>
    </row>
    <row r="51" spans="1:19" hidden="1">
      <c r="A51" s="747">
        <f t="shared" si="4"/>
        <v>2.3499999999999925</v>
      </c>
      <c r="B51" s="725"/>
      <c r="C51" s="733">
        <f t="shared" si="0"/>
        <v>0</v>
      </c>
      <c r="D51" s="733">
        <f t="shared" si="1"/>
        <v>0</v>
      </c>
      <c r="E51" s="733"/>
      <c r="F51" s="733"/>
      <c r="G51" s="733">
        <f t="shared" si="2"/>
        <v>0</v>
      </c>
      <c r="H51" s="733"/>
      <c r="I51" s="733">
        <f t="shared" si="5"/>
        <v>0</v>
      </c>
      <c r="J51" s="733">
        <f t="shared" si="5"/>
        <v>0</v>
      </c>
      <c r="K51" s="733">
        <f t="shared" si="5"/>
        <v>0</v>
      </c>
      <c r="L51" s="733"/>
      <c r="M51" s="725"/>
      <c r="N51" s="725"/>
      <c r="O51" s="725"/>
      <c r="P51" s="733"/>
      <c r="Q51" s="725"/>
      <c r="R51" s="725"/>
      <c r="S51" s="725"/>
    </row>
    <row r="52" spans="1:19" hidden="1">
      <c r="A52" s="747">
        <f t="shared" si="4"/>
        <v>2.3599999999999923</v>
      </c>
      <c r="B52" s="725"/>
      <c r="C52" s="733">
        <f t="shared" si="0"/>
        <v>0</v>
      </c>
      <c r="D52" s="733">
        <f t="shared" si="1"/>
        <v>0</v>
      </c>
      <c r="E52" s="733"/>
      <c r="F52" s="733"/>
      <c r="G52" s="733">
        <f t="shared" si="2"/>
        <v>0</v>
      </c>
      <c r="H52" s="733"/>
      <c r="I52" s="733">
        <f t="shared" si="5"/>
        <v>0</v>
      </c>
      <c r="J52" s="733">
        <f t="shared" si="5"/>
        <v>0</v>
      </c>
      <c r="K52" s="733">
        <f t="shared" si="5"/>
        <v>0</v>
      </c>
      <c r="L52" s="733"/>
      <c r="M52" s="725"/>
      <c r="N52" s="725"/>
      <c r="O52" s="725"/>
      <c r="P52" s="733"/>
      <c r="Q52" s="725"/>
      <c r="R52" s="725"/>
      <c r="S52" s="725"/>
    </row>
    <row r="53" spans="1:19" hidden="1">
      <c r="A53" s="747">
        <f t="shared" si="4"/>
        <v>2.3699999999999921</v>
      </c>
      <c r="B53" s="725"/>
      <c r="C53" s="733">
        <f t="shared" si="0"/>
        <v>0</v>
      </c>
      <c r="D53" s="733">
        <f t="shared" si="1"/>
        <v>0</v>
      </c>
      <c r="E53" s="733"/>
      <c r="F53" s="733"/>
      <c r="G53" s="733">
        <f t="shared" si="2"/>
        <v>0</v>
      </c>
      <c r="H53" s="733"/>
      <c r="I53" s="733">
        <f t="shared" si="5"/>
        <v>0</v>
      </c>
      <c r="J53" s="733">
        <f t="shared" si="5"/>
        <v>0</v>
      </c>
      <c r="K53" s="733">
        <f t="shared" si="5"/>
        <v>0</v>
      </c>
      <c r="L53" s="733"/>
      <c r="M53" s="725"/>
      <c r="N53" s="725"/>
      <c r="O53" s="725"/>
      <c r="P53" s="733"/>
      <c r="Q53" s="725"/>
      <c r="R53" s="725"/>
      <c r="S53" s="725"/>
    </row>
    <row r="54" spans="1:19" hidden="1">
      <c r="A54" s="747">
        <f t="shared" si="4"/>
        <v>2.3799999999999919</v>
      </c>
      <c r="B54" s="725"/>
      <c r="C54" s="733">
        <f t="shared" si="0"/>
        <v>0</v>
      </c>
      <c r="D54" s="733">
        <f t="shared" si="1"/>
        <v>0</v>
      </c>
      <c r="E54" s="733"/>
      <c r="F54" s="733"/>
      <c r="G54" s="733">
        <f t="shared" si="2"/>
        <v>0</v>
      </c>
      <c r="H54" s="733"/>
      <c r="I54" s="733">
        <f t="shared" si="5"/>
        <v>0</v>
      </c>
      <c r="J54" s="733">
        <f t="shared" si="5"/>
        <v>0</v>
      </c>
      <c r="K54" s="733">
        <f t="shared" si="5"/>
        <v>0</v>
      </c>
      <c r="L54" s="733"/>
      <c r="M54" s="725"/>
      <c r="N54" s="725"/>
      <c r="O54" s="725"/>
      <c r="P54" s="733"/>
      <c r="Q54" s="725"/>
      <c r="R54" s="725"/>
      <c r="S54" s="725"/>
    </row>
    <row r="55" spans="1:19" hidden="1">
      <c r="A55" s="747">
        <f t="shared" si="4"/>
        <v>2.3899999999999917</v>
      </c>
      <c r="B55" s="725"/>
      <c r="C55" s="733">
        <f t="shared" si="0"/>
        <v>0</v>
      </c>
      <c r="D55" s="733">
        <f t="shared" si="1"/>
        <v>0</v>
      </c>
      <c r="E55" s="733"/>
      <c r="F55" s="733"/>
      <c r="G55" s="733">
        <f t="shared" si="2"/>
        <v>0</v>
      </c>
      <c r="H55" s="733"/>
      <c r="I55" s="733">
        <f t="shared" si="5"/>
        <v>0</v>
      </c>
      <c r="J55" s="733">
        <f t="shared" si="5"/>
        <v>0</v>
      </c>
      <c r="K55" s="733">
        <f t="shared" si="5"/>
        <v>0</v>
      </c>
      <c r="L55" s="733"/>
      <c r="M55" s="725"/>
      <c r="N55" s="725"/>
      <c r="O55" s="725"/>
      <c r="P55" s="733"/>
      <c r="Q55" s="725"/>
      <c r="R55" s="725"/>
      <c r="S55" s="725"/>
    </row>
    <row r="56" spans="1:19" hidden="1">
      <c r="A56" s="747">
        <f t="shared" si="4"/>
        <v>2.3999999999999915</v>
      </c>
      <c r="B56" s="725"/>
      <c r="C56" s="733">
        <f t="shared" si="0"/>
        <v>0</v>
      </c>
      <c r="D56" s="733">
        <f t="shared" si="1"/>
        <v>0</v>
      </c>
      <c r="E56" s="733"/>
      <c r="F56" s="733"/>
      <c r="G56" s="733">
        <f t="shared" si="2"/>
        <v>0</v>
      </c>
      <c r="H56" s="733"/>
      <c r="I56" s="733">
        <f t="shared" si="5"/>
        <v>0</v>
      </c>
      <c r="J56" s="733">
        <f t="shared" si="5"/>
        <v>0</v>
      </c>
      <c r="K56" s="733">
        <f t="shared" si="5"/>
        <v>0</v>
      </c>
      <c r="L56" s="733"/>
      <c r="M56" s="725"/>
      <c r="N56" s="725"/>
      <c r="O56" s="725"/>
      <c r="P56" s="733"/>
      <c r="Q56" s="725"/>
      <c r="R56" s="725"/>
      <c r="S56" s="725"/>
    </row>
    <row r="57" spans="1:19" hidden="1">
      <c r="A57" s="747">
        <f t="shared" si="4"/>
        <v>2.4099999999999913</v>
      </c>
      <c r="B57" s="725"/>
      <c r="C57" s="733">
        <f t="shared" si="0"/>
        <v>0</v>
      </c>
      <c r="D57" s="733">
        <f t="shared" si="1"/>
        <v>0</v>
      </c>
      <c r="E57" s="733"/>
      <c r="F57" s="733"/>
      <c r="G57" s="733">
        <f t="shared" si="2"/>
        <v>0</v>
      </c>
      <c r="H57" s="733"/>
      <c r="I57" s="733">
        <f t="shared" si="5"/>
        <v>0</v>
      </c>
      <c r="J57" s="733">
        <f t="shared" si="5"/>
        <v>0</v>
      </c>
      <c r="K57" s="733">
        <f t="shared" si="5"/>
        <v>0</v>
      </c>
      <c r="L57" s="733"/>
      <c r="M57" s="725"/>
      <c r="N57" s="725"/>
      <c r="O57" s="725"/>
      <c r="P57" s="733"/>
      <c r="Q57" s="725"/>
      <c r="R57" s="725"/>
      <c r="S57" s="725"/>
    </row>
    <row r="58" spans="1:19" hidden="1">
      <c r="A58" s="747">
        <f t="shared" si="4"/>
        <v>2.419999999999991</v>
      </c>
      <c r="B58" s="725"/>
      <c r="C58" s="733">
        <f t="shared" si="0"/>
        <v>0</v>
      </c>
      <c r="D58" s="733">
        <f t="shared" si="1"/>
        <v>0</v>
      </c>
      <c r="E58" s="733"/>
      <c r="F58" s="733"/>
      <c r="G58" s="733">
        <f t="shared" si="2"/>
        <v>0</v>
      </c>
      <c r="H58" s="733"/>
      <c r="I58" s="733">
        <f t="shared" si="5"/>
        <v>0</v>
      </c>
      <c r="J58" s="733">
        <f t="shared" si="5"/>
        <v>0</v>
      </c>
      <c r="K58" s="733">
        <f t="shared" si="5"/>
        <v>0</v>
      </c>
      <c r="L58" s="733"/>
      <c r="M58" s="725"/>
      <c r="N58" s="725"/>
      <c r="O58" s="725"/>
      <c r="P58" s="733"/>
      <c r="Q58" s="725"/>
      <c r="R58" s="725"/>
      <c r="S58" s="725"/>
    </row>
    <row r="59" spans="1:19" hidden="1">
      <c r="A59" s="747">
        <f t="shared" si="4"/>
        <v>2.4299999999999908</v>
      </c>
      <c r="B59" s="725"/>
      <c r="C59" s="733">
        <f t="shared" si="0"/>
        <v>0</v>
      </c>
      <c r="D59" s="733">
        <f t="shared" si="1"/>
        <v>0</v>
      </c>
      <c r="E59" s="733"/>
      <c r="F59" s="733"/>
      <c r="G59" s="733">
        <f t="shared" si="2"/>
        <v>0</v>
      </c>
      <c r="H59" s="733"/>
      <c r="I59" s="733">
        <f t="shared" si="5"/>
        <v>0</v>
      </c>
      <c r="J59" s="733">
        <f t="shared" si="5"/>
        <v>0</v>
      </c>
      <c r="K59" s="733">
        <f t="shared" si="5"/>
        <v>0</v>
      </c>
      <c r="L59" s="733"/>
      <c r="M59" s="725"/>
      <c r="N59" s="725"/>
      <c r="O59" s="725"/>
      <c r="P59" s="733"/>
      <c r="Q59" s="725"/>
      <c r="R59" s="725"/>
      <c r="S59" s="725"/>
    </row>
    <row r="60" spans="1:19" hidden="1">
      <c r="A60" s="747">
        <f t="shared" si="4"/>
        <v>2.4399999999999906</v>
      </c>
      <c r="B60" s="725"/>
      <c r="C60" s="733">
        <f t="shared" si="0"/>
        <v>0</v>
      </c>
      <c r="D60" s="733">
        <f t="shared" si="1"/>
        <v>0</v>
      </c>
      <c r="E60" s="733"/>
      <c r="F60" s="733"/>
      <c r="G60" s="733">
        <f t="shared" si="2"/>
        <v>0</v>
      </c>
      <c r="H60" s="733"/>
      <c r="I60" s="733">
        <f t="shared" si="5"/>
        <v>0</v>
      </c>
      <c r="J60" s="733">
        <f t="shared" si="5"/>
        <v>0</v>
      </c>
      <c r="K60" s="733">
        <f t="shared" si="5"/>
        <v>0</v>
      </c>
      <c r="L60" s="733"/>
      <c r="M60" s="725"/>
      <c r="N60" s="725"/>
      <c r="O60" s="725"/>
      <c r="P60" s="733"/>
      <c r="Q60" s="725"/>
      <c r="R60" s="725"/>
      <c r="S60" s="725"/>
    </row>
    <row r="61" spans="1:19" hidden="1">
      <c r="A61" s="747">
        <f t="shared" si="4"/>
        <v>2.4499999999999904</v>
      </c>
      <c r="B61" s="725"/>
      <c r="C61" s="733">
        <f t="shared" si="0"/>
        <v>0</v>
      </c>
      <c r="D61" s="733">
        <f t="shared" si="1"/>
        <v>0</v>
      </c>
      <c r="E61" s="733"/>
      <c r="F61" s="733"/>
      <c r="G61" s="733">
        <f t="shared" si="2"/>
        <v>0</v>
      </c>
      <c r="H61" s="733"/>
      <c r="I61" s="733">
        <f t="shared" si="5"/>
        <v>0</v>
      </c>
      <c r="J61" s="733">
        <f t="shared" si="5"/>
        <v>0</v>
      </c>
      <c r="K61" s="733">
        <f t="shared" si="5"/>
        <v>0</v>
      </c>
      <c r="L61" s="733"/>
      <c r="M61" s="725"/>
      <c r="N61" s="725"/>
      <c r="O61" s="725"/>
      <c r="P61" s="733"/>
      <c r="Q61" s="725"/>
      <c r="R61" s="725"/>
      <c r="S61" s="725"/>
    </row>
    <row r="62" spans="1:19" hidden="1">
      <c r="A62" s="747">
        <f t="shared" si="4"/>
        <v>2.4599999999999902</v>
      </c>
      <c r="B62" s="725"/>
      <c r="C62" s="733">
        <f t="shared" si="0"/>
        <v>0</v>
      </c>
      <c r="D62" s="733">
        <f t="shared" si="1"/>
        <v>0</v>
      </c>
      <c r="E62" s="733"/>
      <c r="F62" s="733"/>
      <c r="G62" s="733">
        <f t="shared" si="2"/>
        <v>0</v>
      </c>
      <c r="H62" s="733"/>
      <c r="I62" s="733">
        <f t="shared" si="5"/>
        <v>0</v>
      </c>
      <c r="J62" s="733">
        <f t="shared" si="5"/>
        <v>0</v>
      </c>
      <c r="K62" s="733">
        <f t="shared" si="5"/>
        <v>0</v>
      </c>
      <c r="L62" s="733"/>
      <c r="M62" s="725"/>
      <c r="N62" s="725"/>
      <c r="O62" s="725"/>
      <c r="P62" s="733"/>
      <c r="Q62" s="725"/>
      <c r="R62" s="725"/>
      <c r="S62" s="725"/>
    </row>
    <row r="63" spans="1:19" hidden="1">
      <c r="A63" s="747">
        <f t="shared" si="4"/>
        <v>2.46999999999999</v>
      </c>
      <c r="B63" s="725"/>
      <c r="C63" s="733">
        <f t="shared" si="0"/>
        <v>0</v>
      </c>
      <c r="D63" s="733">
        <f t="shared" si="1"/>
        <v>0</v>
      </c>
      <c r="E63" s="733"/>
      <c r="F63" s="733"/>
      <c r="G63" s="733">
        <f t="shared" si="2"/>
        <v>0</v>
      </c>
      <c r="H63" s="733"/>
      <c r="I63" s="733">
        <f t="shared" si="5"/>
        <v>0</v>
      </c>
      <c r="J63" s="733">
        <f t="shared" si="5"/>
        <v>0</v>
      </c>
      <c r="K63" s="733">
        <f t="shared" si="5"/>
        <v>0</v>
      </c>
      <c r="L63" s="733"/>
      <c r="M63" s="725"/>
      <c r="N63" s="725"/>
      <c r="O63" s="725"/>
      <c r="P63" s="733"/>
      <c r="Q63" s="725"/>
      <c r="R63" s="725"/>
      <c r="S63" s="725"/>
    </row>
    <row r="64" spans="1:19" hidden="1">
      <c r="A64" s="747">
        <f t="shared" si="4"/>
        <v>2.4799999999999898</v>
      </c>
      <c r="B64" s="725"/>
      <c r="C64" s="733">
        <f t="shared" si="0"/>
        <v>0</v>
      </c>
      <c r="D64" s="733">
        <f t="shared" si="1"/>
        <v>0</v>
      </c>
      <c r="E64" s="733"/>
      <c r="F64" s="733"/>
      <c r="G64" s="733">
        <f t="shared" si="2"/>
        <v>0</v>
      </c>
      <c r="H64" s="733"/>
      <c r="I64" s="733">
        <f t="shared" si="5"/>
        <v>0</v>
      </c>
      <c r="J64" s="733">
        <f t="shared" si="5"/>
        <v>0</v>
      </c>
      <c r="K64" s="733">
        <f t="shared" si="5"/>
        <v>0</v>
      </c>
      <c r="L64" s="733"/>
      <c r="M64" s="725"/>
      <c r="N64" s="725"/>
      <c r="O64" s="725"/>
      <c r="P64" s="733"/>
      <c r="Q64" s="725"/>
      <c r="R64" s="725"/>
      <c r="S64" s="725"/>
    </row>
    <row r="65" spans="1:19" hidden="1">
      <c r="A65" s="747">
        <f t="shared" si="4"/>
        <v>2.4899999999999896</v>
      </c>
      <c r="B65" s="725"/>
      <c r="C65" s="733">
        <f t="shared" si="0"/>
        <v>0</v>
      </c>
      <c r="D65" s="733">
        <f t="shared" si="1"/>
        <v>0</v>
      </c>
      <c r="E65" s="733"/>
      <c r="F65" s="733"/>
      <c r="G65" s="733">
        <f t="shared" si="2"/>
        <v>0</v>
      </c>
      <c r="H65" s="733"/>
      <c r="I65" s="733">
        <f t="shared" si="5"/>
        <v>0</v>
      </c>
      <c r="J65" s="733">
        <f t="shared" si="5"/>
        <v>0</v>
      </c>
      <c r="K65" s="733">
        <f t="shared" si="5"/>
        <v>0</v>
      </c>
      <c r="L65" s="733"/>
      <c r="M65" s="725"/>
      <c r="N65" s="725"/>
      <c r="O65" s="725"/>
      <c r="P65" s="733"/>
      <c r="Q65" s="725"/>
      <c r="R65" s="725"/>
      <c r="S65" s="725"/>
    </row>
    <row r="66" spans="1:19" hidden="1">
      <c r="A66" s="747">
        <f t="shared" si="4"/>
        <v>2.4999999999999893</v>
      </c>
      <c r="B66" s="725"/>
      <c r="C66" s="733">
        <f t="shared" si="0"/>
        <v>0</v>
      </c>
      <c r="D66" s="733">
        <f t="shared" si="1"/>
        <v>0</v>
      </c>
      <c r="E66" s="733"/>
      <c r="F66" s="733"/>
      <c r="G66" s="733">
        <f t="shared" si="2"/>
        <v>0</v>
      </c>
      <c r="H66" s="733"/>
      <c r="I66" s="733">
        <f t="shared" si="5"/>
        <v>0</v>
      </c>
      <c r="J66" s="733">
        <f t="shared" si="5"/>
        <v>0</v>
      </c>
      <c r="K66" s="733">
        <f t="shared" si="5"/>
        <v>0</v>
      </c>
      <c r="L66" s="733"/>
      <c r="M66" s="725"/>
      <c r="N66" s="725"/>
      <c r="O66" s="725"/>
      <c r="P66" s="733"/>
      <c r="Q66" s="725"/>
      <c r="R66" s="725"/>
      <c r="S66" s="725"/>
    </row>
    <row r="67" spans="1:19" hidden="1">
      <c r="A67" s="747">
        <f t="shared" si="4"/>
        <v>2.5099999999999891</v>
      </c>
      <c r="B67" s="725"/>
      <c r="C67" s="733">
        <f t="shared" si="0"/>
        <v>0</v>
      </c>
      <c r="D67" s="733">
        <f t="shared" si="1"/>
        <v>0</v>
      </c>
      <c r="E67" s="733"/>
      <c r="F67" s="733"/>
      <c r="G67" s="733">
        <f t="shared" si="2"/>
        <v>0</v>
      </c>
      <c r="H67" s="733"/>
      <c r="I67" s="733">
        <f t="shared" si="5"/>
        <v>0</v>
      </c>
      <c r="J67" s="733">
        <f t="shared" si="5"/>
        <v>0</v>
      </c>
      <c r="K67" s="733">
        <f t="shared" si="5"/>
        <v>0</v>
      </c>
      <c r="L67" s="733"/>
      <c r="M67" s="725"/>
      <c r="N67" s="725"/>
      <c r="O67" s="725"/>
      <c r="P67" s="733"/>
      <c r="Q67" s="725"/>
      <c r="R67" s="725"/>
      <c r="S67" s="725"/>
    </row>
    <row r="68" spans="1:19" hidden="1">
      <c r="A68" s="747">
        <f t="shared" si="4"/>
        <v>2.5199999999999889</v>
      </c>
      <c r="B68" s="725"/>
      <c r="C68" s="733">
        <f t="shared" si="0"/>
        <v>0</v>
      </c>
      <c r="D68" s="733">
        <f t="shared" si="1"/>
        <v>0</v>
      </c>
      <c r="E68" s="733"/>
      <c r="F68" s="733"/>
      <c r="G68" s="733">
        <f t="shared" si="2"/>
        <v>0</v>
      </c>
      <c r="H68" s="733"/>
      <c r="I68" s="733">
        <f t="shared" si="5"/>
        <v>0</v>
      </c>
      <c r="J68" s="733">
        <f t="shared" si="5"/>
        <v>0</v>
      </c>
      <c r="K68" s="733">
        <f t="shared" si="5"/>
        <v>0</v>
      </c>
      <c r="L68" s="733"/>
      <c r="M68" s="725"/>
      <c r="N68" s="725"/>
      <c r="O68" s="725"/>
      <c r="P68" s="733"/>
      <c r="Q68" s="725"/>
      <c r="R68" s="725"/>
      <c r="S68" s="725"/>
    </row>
    <row r="69" spans="1:19" hidden="1">
      <c r="A69" s="747">
        <f t="shared" si="4"/>
        <v>2.5299999999999887</v>
      </c>
      <c r="B69" s="725"/>
      <c r="C69" s="733">
        <f t="shared" si="0"/>
        <v>0</v>
      </c>
      <c r="D69" s="733">
        <f t="shared" si="1"/>
        <v>0</v>
      </c>
      <c r="E69" s="733"/>
      <c r="F69" s="733"/>
      <c r="G69" s="733">
        <f t="shared" si="2"/>
        <v>0</v>
      </c>
      <c r="H69" s="733"/>
      <c r="I69" s="733">
        <f t="shared" si="5"/>
        <v>0</v>
      </c>
      <c r="J69" s="733">
        <f t="shared" si="5"/>
        <v>0</v>
      </c>
      <c r="K69" s="733">
        <f t="shared" si="5"/>
        <v>0</v>
      </c>
      <c r="L69" s="733"/>
      <c r="M69" s="725"/>
      <c r="N69" s="725"/>
      <c r="O69" s="725"/>
      <c r="P69" s="733"/>
      <c r="Q69" s="725"/>
      <c r="R69" s="725"/>
      <c r="S69" s="725"/>
    </row>
    <row r="70" spans="1:19" hidden="1">
      <c r="A70" s="747">
        <f t="shared" si="4"/>
        <v>2.5399999999999885</v>
      </c>
      <c r="B70" s="725"/>
      <c r="C70" s="733">
        <f t="shared" si="0"/>
        <v>0</v>
      </c>
      <c r="D70" s="733">
        <f t="shared" si="1"/>
        <v>0</v>
      </c>
      <c r="E70" s="733"/>
      <c r="F70" s="733"/>
      <c r="G70" s="733">
        <f t="shared" si="2"/>
        <v>0</v>
      </c>
      <c r="H70" s="733"/>
      <c r="I70" s="733">
        <f t="shared" si="5"/>
        <v>0</v>
      </c>
      <c r="J70" s="733">
        <f t="shared" si="5"/>
        <v>0</v>
      </c>
      <c r="K70" s="733">
        <f t="shared" si="5"/>
        <v>0</v>
      </c>
      <c r="L70" s="733"/>
      <c r="M70" s="725"/>
      <c r="N70" s="725"/>
      <c r="O70" s="725"/>
      <c r="P70" s="733"/>
      <c r="Q70" s="725"/>
      <c r="R70" s="725"/>
      <c r="S70" s="725"/>
    </row>
    <row r="71" spans="1:19" hidden="1">
      <c r="A71" s="747">
        <f t="shared" si="4"/>
        <v>2.5499999999999883</v>
      </c>
      <c r="B71" s="725"/>
      <c r="C71" s="733">
        <f t="shared" si="0"/>
        <v>0</v>
      </c>
      <c r="D71" s="733">
        <f t="shared" si="1"/>
        <v>0</v>
      </c>
      <c r="E71" s="733"/>
      <c r="F71" s="733"/>
      <c r="G71" s="733">
        <f t="shared" si="2"/>
        <v>0</v>
      </c>
      <c r="H71" s="733"/>
      <c r="I71" s="733">
        <f t="shared" si="5"/>
        <v>0</v>
      </c>
      <c r="J71" s="733">
        <f t="shared" si="5"/>
        <v>0</v>
      </c>
      <c r="K71" s="733">
        <f t="shared" si="5"/>
        <v>0</v>
      </c>
      <c r="L71" s="733"/>
      <c r="M71" s="725"/>
      <c r="N71" s="725"/>
      <c r="O71" s="725"/>
      <c r="P71" s="733"/>
      <c r="Q71" s="725"/>
      <c r="R71" s="725"/>
      <c r="S71" s="725"/>
    </row>
    <row r="72" spans="1:19" hidden="1">
      <c r="A72" s="747">
        <f t="shared" si="4"/>
        <v>2.5599999999999881</v>
      </c>
      <c r="B72" s="725"/>
      <c r="C72" s="733">
        <f t="shared" si="0"/>
        <v>0</v>
      </c>
      <c r="D72" s="733">
        <f t="shared" si="1"/>
        <v>0</v>
      </c>
      <c r="E72" s="733"/>
      <c r="F72" s="733"/>
      <c r="G72" s="733">
        <f t="shared" si="2"/>
        <v>0</v>
      </c>
      <c r="H72" s="733"/>
      <c r="I72" s="733">
        <f t="shared" si="5"/>
        <v>0</v>
      </c>
      <c r="J72" s="733">
        <f t="shared" si="5"/>
        <v>0</v>
      </c>
      <c r="K72" s="733">
        <f t="shared" si="5"/>
        <v>0</v>
      </c>
      <c r="L72" s="733"/>
      <c r="M72" s="725"/>
      <c r="N72" s="725"/>
      <c r="O72" s="725"/>
      <c r="P72" s="733"/>
      <c r="Q72" s="725"/>
      <c r="R72" s="725"/>
      <c r="S72" s="725"/>
    </row>
    <row r="73" spans="1:19" hidden="1">
      <c r="A73" s="747">
        <f t="shared" si="4"/>
        <v>2.5699999999999878</v>
      </c>
      <c r="B73" s="725"/>
      <c r="C73" s="733">
        <f t="shared" si="0"/>
        <v>0</v>
      </c>
      <c r="D73" s="733">
        <f t="shared" si="1"/>
        <v>0</v>
      </c>
      <c r="E73" s="733"/>
      <c r="F73" s="733"/>
      <c r="G73" s="733">
        <f t="shared" si="2"/>
        <v>0</v>
      </c>
      <c r="H73" s="733"/>
      <c r="I73" s="733">
        <f t="shared" si="5"/>
        <v>0</v>
      </c>
      <c r="J73" s="733">
        <f t="shared" si="5"/>
        <v>0</v>
      </c>
      <c r="K73" s="733">
        <f t="shared" si="5"/>
        <v>0</v>
      </c>
      <c r="L73" s="733"/>
      <c r="M73" s="725"/>
      <c r="N73" s="725"/>
      <c r="O73" s="725"/>
      <c r="P73" s="733"/>
      <c r="Q73" s="725"/>
      <c r="R73" s="725"/>
      <c r="S73" s="725"/>
    </row>
    <row r="74" spans="1:19" hidden="1">
      <c r="A74" s="747">
        <f t="shared" si="4"/>
        <v>2.5799999999999876</v>
      </c>
      <c r="B74" s="725"/>
      <c r="C74" s="733">
        <f t="shared" si="0"/>
        <v>0</v>
      </c>
      <c r="D74" s="733">
        <f t="shared" si="1"/>
        <v>0</v>
      </c>
      <c r="E74" s="733"/>
      <c r="F74" s="733"/>
      <c r="G74" s="733">
        <f t="shared" si="2"/>
        <v>0</v>
      </c>
      <c r="H74" s="733"/>
      <c r="I74" s="733">
        <f t="shared" si="5"/>
        <v>0</v>
      </c>
      <c r="J74" s="733">
        <f t="shared" si="5"/>
        <v>0</v>
      </c>
      <c r="K74" s="733">
        <f t="shared" si="5"/>
        <v>0</v>
      </c>
      <c r="L74" s="733"/>
      <c r="M74" s="725"/>
      <c r="N74" s="725"/>
      <c r="O74" s="725"/>
      <c r="P74" s="733"/>
      <c r="Q74" s="725"/>
      <c r="R74" s="725"/>
      <c r="S74" s="725"/>
    </row>
    <row r="75" spans="1:19" hidden="1">
      <c r="A75" s="747">
        <f t="shared" si="4"/>
        <v>2.5899999999999874</v>
      </c>
      <c r="B75" s="725"/>
      <c r="C75" s="733">
        <f t="shared" si="0"/>
        <v>0</v>
      </c>
      <c r="D75" s="733">
        <f t="shared" si="1"/>
        <v>0</v>
      </c>
      <c r="E75" s="733"/>
      <c r="F75" s="733"/>
      <c r="G75" s="733">
        <f t="shared" si="2"/>
        <v>0</v>
      </c>
      <c r="H75" s="733"/>
      <c r="I75" s="733">
        <f t="shared" si="5"/>
        <v>0</v>
      </c>
      <c r="J75" s="733">
        <f t="shared" si="5"/>
        <v>0</v>
      </c>
      <c r="K75" s="733">
        <f t="shared" si="5"/>
        <v>0</v>
      </c>
      <c r="L75" s="733"/>
      <c r="M75" s="725"/>
      <c r="N75" s="725"/>
      <c r="O75" s="725"/>
      <c r="P75" s="733"/>
      <c r="Q75" s="725"/>
      <c r="R75" s="725"/>
      <c r="S75" s="725"/>
    </row>
    <row r="76" spans="1:19" hidden="1">
      <c r="A76" s="747">
        <f t="shared" si="4"/>
        <v>2.5999999999999872</v>
      </c>
      <c r="B76" s="725"/>
      <c r="C76" s="733">
        <f t="shared" si="0"/>
        <v>0</v>
      </c>
      <c r="D76" s="733">
        <f t="shared" si="1"/>
        <v>0</v>
      </c>
      <c r="E76" s="733"/>
      <c r="F76" s="733"/>
      <c r="G76" s="733">
        <f t="shared" si="2"/>
        <v>0</v>
      </c>
      <c r="H76" s="733"/>
      <c r="I76" s="733">
        <f t="shared" si="5"/>
        <v>0</v>
      </c>
      <c r="J76" s="733">
        <f t="shared" si="5"/>
        <v>0</v>
      </c>
      <c r="K76" s="733">
        <f t="shared" si="5"/>
        <v>0</v>
      </c>
      <c r="L76" s="733"/>
      <c r="M76" s="725"/>
      <c r="N76" s="725"/>
      <c r="O76" s="725"/>
      <c r="P76" s="733"/>
      <c r="Q76" s="725"/>
      <c r="R76" s="725"/>
      <c r="S76" s="725"/>
    </row>
    <row r="77" spans="1:19" hidden="1">
      <c r="A77" s="747">
        <f t="shared" si="4"/>
        <v>2.609999999999987</v>
      </c>
      <c r="B77" s="725"/>
      <c r="C77" s="737">
        <f t="shared" si="0"/>
        <v>0</v>
      </c>
      <c r="D77" s="737">
        <f t="shared" si="1"/>
        <v>0</v>
      </c>
      <c r="E77" s="737"/>
      <c r="F77" s="737"/>
      <c r="G77" s="737">
        <f t="shared" si="2"/>
        <v>0</v>
      </c>
      <c r="H77" s="737"/>
      <c r="I77" s="737">
        <f t="shared" si="5"/>
        <v>0</v>
      </c>
      <c r="J77" s="737">
        <f t="shared" si="5"/>
        <v>0</v>
      </c>
      <c r="K77" s="737">
        <f t="shared" si="5"/>
        <v>0</v>
      </c>
      <c r="L77" s="737"/>
      <c r="M77" s="725"/>
      <c r="N77" s="725"/>
      <c r="O77" s="725"/>
      <c r="P77" s="737"/>
      <c r="Q77" s="725"/>
      <c r="R77" s="725"/>
      <c r="S77" s="725"/>
    </row>
    <row r="78" spans="1:19" hidden="1">
      <c r="A78" s="747">
        <f t="shared" si="4"/>
        <v>2.6199999999999868</v>
      </c>
      <c r="B78" s="725"/>
      <c r="C78" s="737">
        <f t="shared" si="0"/>
        <v>0</v>
      </c>
      <c r="D78" s="737">
        <f t="shared" si="1"/>
        <v>0</v>
      </c>
      <c r="E78" s="737"/>
      <c r="F78" s="737"/>
      <c r="G78" s="737">
        <f t="shared" si="2"/>
        <v>0</v>
      </c>
      <c r="H78" s="737"/>
      <c r="I78" s="737">
        <f t="shared" si="5"/>
        <v>0</v>
      </c>
      <c r="J78" s="737">
        <f t="shared" si="5"/>
        <v>0</v>
      </c>
      <c r="K78" s="737">
        <f t="shared" si="5"/>
        <v>0</v>
      </c>
      <c r="L78" s="737"/>
      <c r="M78" s="725"/>
      <c r="N78" s="725"/>
      <c r="O78" s="725"/>
      <c r="P78" s="737"/>
      <c r="Q78" s="725"/>
      <c r="R78" s="725"/>
      <c r="S78" s="725"/>
    </row>
    <row r="79" spans="1:19" hidden="1">
      <c r="A79" s="747">
        <f t="shared" si="4"/>
        <v>2.6299999999999866</v>
      </c>
      <c r="B79" s="725"/>
      <c r="C79" s="733">
        <f t="shared" si="0"/>
        <v>0</v>
      </c>
      <c r="D79" s="733">
        <f t="shared" si="1"/>
        <v>0</v>
      </c>
      <c r="E79" s="733"/>
      <c r="F79" s="733"/>
      <c r="G79" s="733">
        <f t="shared" si="2"/>
        <v>0</v>
      </c>
      <c r="H79" s="733"/>
      <c r="I79" s="733">
        <f t="shared" si="5"/>
        <v>0</v>
      </c>
      <c r="J79" s="733">
        <f t="shared" si="5"/>
        <v>0</v>
      </c>
      <c r="K79" s="733">
        <f t="shared" si="5"/>
        <v>0</v>
      </c>
      <c r="L79" s="733"/>
      <c r="M79" s="725"/>
      <c r="N79" s="725"/>
      <c r="O79" s="725"/>
      <c r="P79" s="733"/>
      <c r="Q79" s="725"/>
      <c r="R79" s="725"/>
      <c r="S79" s="725"/>
    </row>
    <row r="80" spans="1:19" hidden="1">
      <c r="A80" s="747">
        <f t="shared" si="4"/>
        <v>2.6399999999999864</v>
      </c>
      <c r="B80" s="725"/>
      <c r="C80" s="733">
        <f t="shared" si="0"/>
        <v>0</v>
      </c>
      <c r="D80" s="733">
        <f t="shared" si="1"/>
        <v>0</v>
      </c>
      <c r="E80" s="733"/>
      <c r="F80" s="733"/>
      <c r="G80" s="733">
        <f t="shared" si="2"/>
        <v>0</v>
      </c>
      <c r="H80" s="733"/>
      <c r="I80" s="733">
        <f t="shared" si="5"/>
        <v>0</v>
      </c>
      <c r="J80" s="733">
        <f t="shared" si="5"/>
        <v>0</v>
      </c>
      <c r="K80" s="733">
        <f t="shared" si="5"/>
        <v>0</v>
      </c>
      <c r="L80" s="733"/>
      <c r="M80" s="725"/>
      <c r="N80" s="725"/>
      <c r="O80" s="725"/>
      <c r="P80" s="733"/>
      <c r="Q80" s="725"/>
      <c r="R80" s="725"/>
      <c r="S80" s="725"/>
    </row>
    <row r="81" spans="1:19" hidden="1">
      <c r="A81" s="747">
        <f t="shared" si="4"/>
        <v>2.6499999999999861</v>
      </c>
      <c r="B81" s="725"/>
      <c r="C81" s="733">
        <f t="shared" ref="C81:C95" si="6">SUM(M81:O81)</f>
        <v>0</v>
      </c>
      <c r="D81" s="733">
        <f t="shared" ref="D81:D95" si="7">SUM(Q81:S81)</f>
        <v>0</v>
      </c>
      <c r="E81" s="733"/>
      <c r="F81" s="733"/>
      <c r="G81" s="733">
        <f t="shared" ref="G81:G107" si="8">ROUND(SUM(C81:F81)/2,0)</f>
        <v>0</v>
      </c>
      <c r="H81" s="733"/>
      <c r="I81" s="733">
        <f t="shared" ref="I81:K95" si="9">(M81+Q81)/2</f>
        <v>0</v>
      </c>
      <c r="J81" s="733">
        <f t="shared" si="9"/>
        <v>0</v>
      </c>
      <c r="K81" s="733">
        <f t="shared" si="9"/>
        <v>0</v>
      </c>
      <c r="L81" s="733"/>
      <c r="M81" s="725"/>
      <c r="N81" s="725"/>
      <c r="O81" s="725"/>
      <c r="P81" s="733"/>
      <c r="Q81" s="725"/>
      <c r="R81" s="725"/>
      <c r="S81" s="725"/>
    </row>
    <row r="82" spans="1:19" hidden="1">
      <c r="A82" s="747">
        <f t="shared" si="4"/>
        <v>2.6599999999999859</v>
      </c>
      <c r="B82" s="725"/>
      <c r="C82" s="733">
        <f t="shared" si="6"/>
        <v>0</v>
      </c>
      <c r="D82" s="733">
        <f t="shared" si="7"/>
        <v>0</v>
      </c>
      <c r="E82" s="733"/>
      <c r="F82" s="733"/>
      <c r="G82" s="733">
        <f t="shared" si="8"/>
        <v>0</v>
      </c>
      <c r="H82" s="733"/>
      <c r="I82" s="733">
        <f t="shared" si="9"/>
        <v>0</v>
      </c>
      <c r="J82" s="733">
        <f t="shared" si="9"/>
        <v>0</v>
      </c>
      <c r="K82" s="733">
        <f t="shared" si="9"/>
        <v>0</v>
      </c>
      <c r="L82" s="733"/>
      <c r="M82" s="725"/>
      <c r="N82" s="725"/>
      <c r="O82" s="725"/>
      <c r="P82" s="733"/>
      <c r="Q82" s="725"/>
      <c r="R82" s="725"/>
      <c r="S82" s="725"/>
    </row>
    <row r="83" spans="1:19" hidden="1">
      <c r="A83" s="747">
        <f t="shared" ref="A83:A107" si="10">A82+0.01</f>
        <v>2.6699999999999857</v>
      </c>
      <c r="B83" s="725"/>
      <c r="C83" s="733">
        <f t="shared" si="6"/>
        <v>0</v>
      </c>
      <c r="D83" s="733">
        <f t="shared" si="7"/>
        <v>0</v>
      </c>
      <c r="E83" s="733"/>
      <c r="F83" s="733"/>
      <c r="G83" s="733">
        <f t="shared" si="8"/>
        <v>0</v>
      </c>
      <c r="H83" s="733"/>
      <c r="I83" s="733">
        <f t="shared" si="9"/>
        <v>0</v>
      </c>
      <c r="J83" s="733">
        <f t="shared" si="9"/>
        <v>0</v>
      </c>
      <c r="K83" s="733">
        <f t="shared" si="9"/>
        <v>0</v>
      </c>
      <c r="L83" s="733"/>
      <c r="M83" s="725"/>
      <c r="N83" s="725"/>
      <c r="O83" s="725"/>
      <c r="P83" s="733"/>
      <c r="Q83" s="725"/>
      <c r="R83" s="725"/>
      <c r="S83" s="725"/>
    </row>
    <row r="84" spans="1:19" hidden="1">
      <c r="A84" s="747">
        <f t="shared" si="10"/>
        <v>2.6799999999999855</v>
      </c>
      <c r="B84" s="725"/>
      <c r="C84" s="733">
        <f t="shared" si="6"/>
        <v>0</v>
      </c>
      <c r="D84" s="733">
        <f t="shared" si="7"/>
        <v>0</v>
      </c>
      <c r="E84" s="733"/>
      <c r="F84" s="733"/>
      <c r="G84" s="733">
        <f t="shared" si="8"/>
        <v>0</v>
      </c>
      <c r="H84" s="733"/>
      <c r="I84" s="733">
        <f t="shared" si="9"/>
        <v>0</v>
      </c>
      <c r="J84" s="733">
        <f t="shared" si="9"/>
        <v>0</v>
      </c>
      <c r="K84" s="733">
        <f t="shared" si="9"/>
        <v>0</v>
      </c>
      <c r="L84" s="733"/>
      <c r="M84" s="725"/>
      <c r="N84" s="725"/>
      <c r="O84" s="725"/>
      <c r="P84" s="733"/>
      <c r="Q84" s="725"/>
      <c r="R84" s="725"/>
      <c r="S84" s="725"/>
    </row>
    <row r="85" spans="1:19" hidden="1">
      <c r="A85" s="747">
        <f t="shared" si="10"/>
        <v>2.6899999999999853</v>
      </c>
      <c r="B85" s="725"/>
      <c r="C85" s="733">
        <f t="shared" si="6"/>
        <v>0</v>
      </c>
      <c r="D85" s="733">
        <f t="shared" si="7"/>
        <v>0</v>
      </c>
      <c r="E85" s="733"/>
      <c r="F85" s="733"/>
      <c r="G85" s="733">
        <f t="shared" si="8"/>
        <v>0</v>
      </c>
      <c r="H85" s="733"/>
      <c r="I85" s="733">
        <f t="shared" si="9"/>
        <v>0</v>
      </c>
      <c r="J85" s="733">
        <f t="shared" si="9"/>
        <v>0</v>
      </c>
      <c r="K85" s="733">
        <f t="shared" si="9"/>
        <v>0</v>
      </c>
      <c r="L85" s="733"/>
      <c r="M85" s="725"/>
      <c r="N85" s="725"/>
      <c r="O85" s="725"/>
      <c r="P85" s="733"/>
      <c r="Q85" s="725"/>
      <c r="R85" s="725"/>
      <c r="S85" s="725"/>
    </row>
    <row r="86" spans="1:19" hidden="1">
      <c r="A86" s="747">
        <f t="shared" si="10"/>
        <v>2.6999999999999851</v>
      </c>
      <c r="B86" s="725"/>
      <c r="C86" s="733">
        <f t="shared" si="6"/>
        <v>0</v>
      </c>
      <c r="D86" s="733">
        <f t="shared" si="7"/>
        <v>0</v>
      </c>
      <c r="E86" s="733"/>
      <c r="F86" s="733"/>
      <c r="G86" s="733">
        <f t="shared" si="8"/>
        <v>0</v>
      </c>
      <c r="H86" s="733"/>
      <c r="I86" s="733">
        <f t="shared" si="9"/>
        <v>0</v>
      </c>
      <c r="J86" s="733">
        <f t="shared" si="9"/>
        <v>0</v>
      </c>
      <c r="K86" s="733">
        <f t="shared" si="9"/>
        <v>0</v>
      </c>
      <c r="L86" s="733"/>
      <c r="M86" s="725"/>
      <c r="N86" s="725"/>
      <c r="O86" s="725"/>
      <c r="P86" s="733"/>
      <c r="Q86" s="725"/>
      <c r="R86" s="725"/>
      <c r="S86" s="725"/>
    </row>
    <row r="87" spans="1:19" hidden="1">
      <c r="A87" s="747">
        <f t="shared" si="10"/>
        <v>2.7099999999999849</v>
      </c>
      <c r="B87" s="725"/>
      <c r="C87" s="733">
        <f t="shared" si="6"/>
        <v>0</v>
      </c>
      <c r="D87" s="733">
        <f t="shared" si="7"/>
        <v>0</v>
      </c>
      <c r="E87" s="733"/>
      <c r="F87" s="733"/>
      <c r="G87" s="733">
        <f t="shared" si="8"/>
        <v>0</v>
      </c>
      <c r="H87" s="733"/>
      <c r="I87" s="733">
        <f t="shared" si="9"/>
        <v>0</v>
      </c>
      <c r="J87" s="733">
        <f t="shared" si="9"/>
        <v>0</v>
      </c>
      <c r="K87" s="733">
        <f t="shared" si="9"/>
        <v>0</v>
      </c>
      <c r="L87" s="733"/>
      <c r="M87" s="725"/>
      <c r="N87" s="725"/>
      <c r="O87" s="725"/>
      <c r="P87" s="733"/>
      <c r="Q87" s="725"/>
      <c r="R87" s="725"/>
      <c r="S87" s="725"/>
    </row>
    <row r="88" spans="1:19" hidden="1">
      <c r="A88" s="747">
        <f t="shared" si="10"/>
        <v>2.7199999999999847</v>
      </c>
      <c r="B88" s="725"/>
      <c r="C88" s="733">
        <f t="shared" si="6"/>
        <v>0</v>
      </c>
      <c r="D88" s="733">
        <f t="shared" si="7"/>
        <v>0</v>
      </c>
      <c r="E88" s="733"/>
      <c r="F88" s="733"/>
      <c r="G88" s="733">
        <f t="shared" si="8"/>
        <v>0</v>
      </c>
      <c r="H88" s="733"/>
      <c r="I88" s="733">
        <f t="shared" si="9"/>
        <v>0</v>
      </c>
      <c r="J88" s="733">
        <f t="shared" si="9"/>
        <v>0</v>
      </c>
      <c r="K88" s="733">
        <f t="shared" si="9"/>
        <v>0</v>
      </c>
      <c r="L88" s="733"/>
      <c r="M88" s="725"/>
      <c r="N88" s="725"/>
      <c r="O88" s="725"/>
      <c r="P88" s="733"/>
      <c r="Q88" s="725"/>
      <c r="R88" s="725"/>
      <c r="S88" s="725"/>
    </row>
    <row r="89" spans="1:19" hidden="1">
      <c r="A89" s="747">
        <f t="shared" si="10"/>
        <v>2.7299999999999844</v>
      </c>
      <c r="B89" s="725"/>
      <c r="C89" s="733">
        <f t="shared" si="6"/>
        <v>0</v>
      </c>
      <c r="D89" s="733">
        <f t="shared" si="7"/>
        <v>0</v>
      </c>
      <c r="E89" s="733"/>
      <c r="F89" s="733"/>
      <c r="G89" s="733">
        <f t="shared" si="8"/>
        <v>0</v>
      </c>
      <c r="H89" s="733"/>
      <c r="I89" s="733">
        <f t="shared" si="9"/>
        <v>0</v>
      </c>
      <c r="J89" s="733">
        <f t="shared" si="9"/>
        <v>0</v>
      </c>
      <c r="K89" s="733">
        <f t="shared" si="9"/>
        <v>0</v>
      </c>
      <c r="L89" s="733"/>
      <c r="M89" s="725"/>
      <c r="N89" s="725"/>
      <c r="O89" s="725"/>
      <c r="P89" s="733"/>
      <c r="Q89" s="725"/>
      <c r="R89" s="725"/>
      <c r="S89" s="725"/>
    </row>
    <row r="90" spans="1:19" hidden="1">
      <c r="A90" s="747">
        <f t="shared" si="10"/>
        <v>2.7399999999999842</v>
      </c>
      <c r="B90" s="725"/>
      <c r="C90" s="733">
        <f t="shared" si="6"/>
        <v>0</v>
      </c>
      <c r="D90" s="733">
        <f t="shared" si="7"/>
        <v>0</v>
      </c>
      <c r="E90" s="733"/>
      <c r="F90" s="733"/>
      <c r="G90" s="733">
        <f t="shared" si="8"/>
        <v>0</v>
      </c>
      <c r="H90" s="733"/>
      <c r="I90" s="733">
        <f t="shared" si="9"/>
        <v>0</v>
      </c>
      <c r="J90" s="733">
        <f t="shared" si="9"/>
        <v>0</v>
      </c>
      <c r="K90" s="733">
        <f t="shared" si="9"/>
        <v>0</v>
      </c>
      <c r="L90" s="733"/>
      <c r="M90" s="725"/>
      <c r="N90" s="725"/>
      <c r="O90" s="725"/>
      <c r="P90" s="733"/>
      <c r="Q90" s="725"/>
      <c r="R90" s="725"/>
      <c r="S90" s="725"/>
    </row>
    <row r="91" spans="1:19" hidden="1">
      <c r="A91" s="747">
        <f t="shared" si="10"/>
        <v>2.749999999999984</v>
      </c>
      <c r="B91" s="725"/>
      <c r="C91" s="733">
        <f t="shared" si="6"/>
        <v>0</v>
      </c>
      <c r="D91" s="733">
        <f t="shared" si="7"/>
        <v>0</v>
      </c>
      <c r="E91" s="733"/>
      <c r="F91" s="733"/>
      <c r="G91" s="733">
        <f t="shared" si="8"/>
        <v>0</v>
      </c>
      <c r="H91" s="733"/>
      <c r="I91" s="733">
        <f t="shared" si="9"/>
        <v>0</v>
      </c>
      <c r="J91" s="733">
        <f t="shared" si="9"/>
        <v>0</v>
      </c>
      <c r="K91" s="733">
        <f t="shared" si="9"/>
        <v>0</v>
      </c>
      <c r="L91" s="733"/>
      <c r="M91" s="725"/>
      <c r="N91" s="725"/>
      <c r="O91" s="725"/>
      <c r="P91" s="733"/>
      <c r="Q91" s="725"/>
      <c r="R91" s="725"/>
      <c r="S91" s="725"/>
    </row>
    <row r="92" spans="1:19" hidden="1">
      <c r="A92" s="747">
        <f t="shared" si="10"/>
        <v>2.7599999999999838</v>
      </c>
      <c r="B92" s="725"/>
      <c r="C92" s="733">
        <f t="shared" si="6"/>
        <v>0</v>
      </c>
      <c r="D92" s="733">
        <f t="shared" si="7"/>
        <v>0</v>
      </c>
      <c r="E92" s="733"/>
      <c r="F92" s="733"/>
      <c r="G92" s="733">
        <f t="shared" si="8"/>
        <v>0</v>
      </c>
      <c r="H92" s="733"/>
      <c r="I92" s="733">
        <f t="shared" si="9"/>
        <v>0</v>
      </c>
      <c r="J92" s="733">
        <f t="shared" si="9"/>
        <v>0</v>
      </c>
      <c r="K92" s="733">
        <f t="shared" si="9"/>
        <v>0</v>
      </c>
      <c r="L92" s="733"/>
      <c r="M92" s="725"/>
      <c r="N92" s="725"/>
      <c r="O92" s="725"/>
      <c r="P92" s="733"/>
      <c r="Q92" s="725"/>
      <c r="R92" s="725"/>
      <c r="S92" s="725"/>
    </row>
    <row r="93" spans="1:19" hidden="1">
      <c r="A93" s="747">
        <f t="shared" si="10"/>
        <v>2.7699999999999836</v>
      </c>
      <c r="B93" s="725"/>
      <c r="C93" s="733">
        <f t="shared" si="6"/>
        <v>0</v>
      </c>
      <c r="D93" s="733">
        <f t="shared" si="7"/>
        <v>0</v>
      </c>
      <c r="E93" s="733"/>
      <c r="F93" s="733"/>
      <c r="G93" s="733">
        <f t="shared" si="8"/>
        <v>0</v>
      </c>
      <c r="H93" s="733"/>
      <c r="I93" s="733">
        <f t="shared" si="9"/>
        <v>0</v>
      </c>
      <c r="J93" s="733">
        <f t="shared" si="9"/>
        <v>0</v>
      </c>
      <c r="K93" s="733">
        <f t="shared" si="9"/>
        <v>0</v>
      </c>
      <c r="L93" s="733"/>
      <c r="M93" s="725"/>
      <c r="N93" s="725"/>
      <c r="O93" s="725"/>
      <c r="P93" s="733"/>
      <c r="Q93" s="725"/>
      <c r="R93" s="725"/>
      <c r="S93" s="725"/>
    </row>
    <row r="94" spans="1:19" hidden="1">
      <c r="A94" s="747">
        <f t="shared" si="10"/>
        <v>2.7799999999999834</v>
      </c>
      <c r="B94" s="725"/>
      <c r="C94" s="733">
        <f t="shared" si="6"/>
        <v>0</v>
      </c>
      <c r="D94" s="733">
        <f t="shared" si="7"/>
        <v>0</v>
      </c>
      <c r="E94" s="733"/>
      <c r="F94" s="733"/>
      <c r="G94" s="733">
        <f t="shared" si="8"/>
        <v>0</v>
      </c>
      <c r="H94" s="733"/>
      <c r="I94" s="733">
        <f t="shared" si="9"/>
        <v>0</v>
      </c>
      <c r="J94" s="733">
        <f t="shared" si="9"/>
        <v>0</v>
      </c>
      <c r="K94" s="733">
        <f t="shared" si="9"/>
        <v>0</v>
      </c>
      <c r="L94" s="733"/>
      <c r="M94" s="725"/>
      <c r="N94" s="725"/>
      <c r="O94" s="725"/>
      <c r="P94" s="733"/>
      <c r="Q94" s="725"/>
      <c r="R94" s="725"/>
      <c r="S94" s="725"/>
    </row>
    <row r="95" spans="1:19" hidden="1">
      <c r="A95" s="747">
        <f t="shared" si="10"/>
        <v>2.7899999999999832</v>
      </c>
      <c r="B95" s="725"/>
      <c r="C95" s="733">
        <f t="shared" si="6"/>
        <v>0</v>
      </c>
      <c r="D95" s="733">
        <f t="shared" si="7"/>
        <v>0</v>
      </c>
      <c r="E95" s="733"/>
      <c r="F95" s="733"/>
      <c r="G95" s="733">
        <f t="shared" si="8"/>
        <v>0</v>
      </c>
      <c r="H95" s="733"/>
      <c r="I95" s="733">
        <f t="shared" si="9"/>
        <v>0</v>
      </c>
      <c r="J95" s="733">
        <f t="shared" si="9"/>
        <v>0</v>
      </c>
      <c r="K95" s="733">
        <f t="shared" si="9"/>
        <v>0</v>
      </c>
      <c r="L95" s="733"/>
      <c r="M95" s="725"/>
      <c r="N95" s="725"/>
      <c r="O95" s="725"/>
      <c r="P95" s="733"/>
      <c r="Q95" s="725"/>
      <c r="R95" s="725"/>
      <c r="S95" s="725"/>
    </row>
    <row r="96" spans="1:19">
      <c r="A96" s="747">
        <f t="shared" si="10"/>
        <v>2.7999999999999829</v>
      </c>
      <c r="B96" s="725"/>
      <c r="C96" s="725"/>
      <c r="D96" s="725"/>
      <c r="E96" s="733">
        <f t="shared" ref="E96:F106" si="11">-C96</f>
        <v>0</v>
      </c>
      <c r="F96" s="733">
        <f t="shared" si="11"/>
        <v>0</v>
      </c>
      <c r="G96" s="733">
        <f t="shared" si="8"/>
        <v>0</v>
      </c>
      <c r="H96" s="733"/>
      <c r="I96" s="733"/>
      <c r="J96" s="733"/>
      <c r="K96" s="733"/>
      <c r="L96" s="733"/>
      <c r="M96" s="733"/>
      <c r="N96" s="733"/>
      <c r="O96" s="733"/>
      <c r="P96" s="733"/>
      <c r="Q96" s="733"/>
      <c r="R96" s="733"/>
      <c r="S96" s="733"/>
    </row>
    <row r="97" spans="1:256">
      <c r="A97" s="747">
        <f t="shared" si="10"/>
        <v>2.8099999999999827</v>
      </c>
      <c r="B97" s="725"/>
      <c r="C97" s="725"/>
      <c r="D97" s="725"/>
      <c r="E97" s="733">
        <f t="shared" si="11"/>
        <v>0</v>
      </c>
      <c r="F97" s="733">
        <f t="shared" si="11"/>
        <v>0</v>
      </c>
      <c r="G97" s="733">
        <f t="shared" si="8"/>
        <v>0</v>
      </c>
      <c r="H97" s="733"/>
      <c r="I97" s="733"/>
      <c r="J97" s="733"/>
      <c r="K97" s="733"/>
      <c r="L97" s="733"/>
      <c r="M97" s="733"/>
      <c r="N97" s="733"/>
      <c r="O97" s="733"/>
      <c r="P97" s="733"/>
      <c r="Q97" s="733"/>
      <c r="R97" s="733"/>
      <c r="S97" s="733"/>
    </row>
    <row r="98" spans="1:256">
      <c r="A98" s="747">
        <f t="shared" si="10"/>
        <v>2.8199999999999825</v>
      </c>
      <c r="B98" s="725"/>
      <c r="C98" s="725"/>
      <c r="D98" s="725"/>
      <c r="E98" s="733">
        <f t="shared" si="11"/>
        <v>0</v>
      </c>
      <c r="F98" s="733">
        <f t="shared" si="11"/>
        <v>0</v>
      </c>
      <c r="G98" s="733">
        <f t="shared" si="8"/>
        <v>0</v>
      </c>
      <c r="H98" s="733"/>
      <c r="I98" s="733"/>
      <c r="J98" s="733"/>
      <c r="K98" s="733"/>
      <c r="L98" s="733"/>
      <c r="M98" s="733"/>
      <c r="N98" s="733"/>
      <c r="O98" s="733"/>
      <c r="P98" s="733"/>
      <c r="Q98" s="733"/>
      <c r="R98" s="733"/>
      <c r="S98" s="733"/>
    </row>
    <row r="99" spans="1:256">
      <c r="A99" s="747">
        <f t="shared" si="10"/>
        <v>2.8299999999999823</v>
      </c>
      <c r="B99" s="725"/>
      <c r="C99" s="725"/>
      <c r="D99" s="725"/>
      <c r="E99" s="733">
        <f t="shared" si="11"/>
        <v>0</v>
      </c>
      <c r="F99" s="733">
        <f t="shared" si="11"/>
        <v>0</v>
      </c>
      <c r="G99" s="733">
        <f t="shared" si="8"/>
        <v>0</v>
      </c>
      <c r="H99" s="733"/>
      <c r="I99" s="733"/>
      <c r="J99" s="733"/>
      <c r="K99" s="733"/>
      <c r="L99" s="733"/>
      <c r="M99" s="733"/>
      <c r="N99" s="733"/>
      <c r="O99" s="733"/>
      <c r="P99" s="733"/>
      <c r="Q99" s="733"/>
      <c r="R99" s="733"/>
      <c r="S99" s="733"/>
    </row>
    <row r="100" spans="1:256">
      <c r="A100" s="747">
        <f t="shared" si="10"/>
        <v>2.8399999999999821</v>
      </c>
      <c r="B100" s="725"/>
      <c r="C100" s="725"/>
      <c r="D100" s="725"/>
      <c r="E100" s="733">
        <f t="shared" si="11"/>
        <v>0</v>
      </c>
      <c r="F100" s="733">
        <f t="shared" si="11"/>
        <v>0</v>
      </c>
      <c r="G100" s="733">
        <f t="shared" si="8"/>
        <v>0</v>
      </c>
      <c r="H100" s="733"/>
      <c r="I100" s="733"/>
      <c r="J100" s="733"/>
      <c r="K100" s="733"/>
      <c r="L100" s="733"/>
      <c r="M100" s="733"/>
      <c r="N100" s="733"/>
      <c r="O100" s="733"/>
      <c r="P100" s="733"/>
      <c r="Q100" s="733"/>
      <c r="R100" s="733"/>
      <c r="S100" s="733"/>
    </row>
    <row r="101" spans="1:256">
      <c r="A101" s="747">
        <f t="shared" si="10"/>
        <v>2.8499999999999819</v>
      </c>
      <c r="B101" s="725"/>
      <c r="C101" s="725"/>
      <c r="D101" s="725"/>
      <c r="E101" s="733">
        <f t="shared" si="11"/>
        <v>0</v>
      </c>
      <c r="F101" s="733">
        <f t="shared" si="11"/>
        <v>0</v>
      </c>
      <c r="G101" s="733">
        <f t="shared" si="8"/>
        <v>0</v>
      </c>
      <c r="H101" s="733"/>
      <c r="I101" s="733"/>
      <c r="J101" s="733"/>
      <c r="K101" s="733"/>
      <c r="L101" s="733"/>
      <c r="M101" s="733"/>
      <c r="N101" s="733"/>
      <c r="O101" s="733"/>
      <c r="P101" s="733"/>
      <c r="Q101" s="733"/>
      <c r="R101" s="733"/>
      <c r="S101" s="733"/>
    </row>
    <row r="102" spans="1:256">
      <c r="A102" s="747">
        <f t="shared" si="10"/>
        <v>2.8599999999999817</v>
      </c>
      <c r="B102" s="725"/>
      <c r="C102" s="725"/>
      <c r="D102" s="725"/>
      <c r="E102" s="733">
        <f t="shared" si="11"/>
        <v>0</v>
      </c>
      <c r="F102" s="733">
        <f t="shared" si="11"/>
        <v>0</v>
      </c>
      <c r="G102" s="733">
        <f t="shared" si="8"/>
        <v>0</v>
      </c>
      <c r="H102" s="733"/>
      <c r="I102" s="733"/>
      <c r="J102" s="733"/>
      <c r="K102" s="733"/>
      <c r="L102" s="733"/>
      <c r="M102" s="733"/>
      <c r="N102" s="733"/>
      <c r="O102" s="733"/>
      <c r="P102" s="733"/>
      <c r="Q102" s="733"/>
      <c r="R102" s="733"/>
      <c r="S102" s="733"/>
    </row>
    <row r="103" spans="1:256">
      <c r="A103" s="747">
        <f t="shared" si="10"/>
        <v>2.8699999999999815</v>
      </c>
      <c r="B103" s="725"/>
      <c r="C103" s="725"/>
      <c r="D103" s="725"/>
      <c r="E103" s="733">
        <f t="shared" si="11"/>
        <v>0</v>
      </c>
      <c r="F103" s="733">
        <f t="shared" si="11"/>
        <v>0</v>
      </c>
      <c r="G103" s="733">
        <f t="shared" si="8"/>
        <v>0</v>
      </c>
      <c r="H103" s="733"/>
      <c r="I103" s="733"/>
      <c r="J103" s="733"/>
      <c r="K103" s="733"/>
      <c r="L103" s="733"/>
      <c r="M103" s="733"/>
      <c r="N103" s="733"/>
      <c r="O103" s="733"/>
      <c r="P103" s="733"/>
      <c r="Q103" s="733"/>
      <c r="R103" s="733"/>
      <c r="S103" s="733"/>
    </row>
    <row r="104" spans="1:256">
      <c r="A104" s="747">
        <f t="shared" si="10"/>
        <v>2.8799999999999812</v>
      </c>
      <c r="B104" s="725"/>
      <c r="C104" s="725"/>
      <c r="D104" s="725"/>
      <c r="E104" s="733">
        <f t="shared" si="11"/>
        <v>0</v>
      </c>
      <c r="F104" s="733">
        <f t="shared" si="11"/>
        <v>0</v>
      </c>
      <c r="G104" s="733">
        <f t="shared" si="8"/>
        <v>0</v>
      </c>
      <c r="H104" s="733"/>
      <c r="I104" s="733"/>
      <c r="J104" s="733"/>
      <c r="K104" s="733"/>
      <c r="L104" s="733"/>
      <c r="M104" s="733"/>
      <c r="N104" s="733"/>
      <c r="O104" s="733"/>
      <c r="P104" s="733"/>
      <c r="Q104" s="733"/>
      <c r="R104" s="733"/>
      <c r="S104" s="733"/>
    </row>
    <row r="105" spans="1:256">
      <c r="A105" s="747">
        <f t="shared" si="10"/>
        <v>2.889999999999981</v>
      </c>
      <c r="B105" s="725"/>
      <c r="C105" s="725"/>
      <c r="D105" s="725"/>
      <c r="E105" s="733">
        <f t="shared" si="11"/>
        <v>0</v>
      </c>
      <c r="F105" s="733">
        <f t="shared" si="11"/>
        <v>0</v>
      </c>
      <c r="G105" s="733">
        <f t="shared" si="8"/>
        <v>0</v>
      </c>
      <c r="H105" s="733"/>
      <c r="I105" s="733"/>
      <c r="J105" s="733"/>
      <c r="K105" s="733"/>
      <c r="L105" s="733"/>
      <c r="M105" s="733"/>
      <c r="N105" s="733"/>
      <c r="O105" s="733"/>
      <c r="P105" s="733"/>
      <c r="Q105" s="733"/>
      <c r="R105" s="733"/>
      <c r="S105" s="733"/>
    </row>
    <row r="106" spans="1:256">
      <c r="A106" s="747">
        <f t="shared" si="10"/>
        <v>2.8999999999999808</v>
      </c>
      <c r="B106" s="725"/>
      <c r="C106" s="725"/>
      <c r="D106" s="725"/>
      <c r="E106" s="733">
        <f t="shared" si="11"/>
        <v>0</v>
      </c>
      <c r="F106" s="733">
        <f t="shared" si="11"/>
        <v>0</v>
      </c>
      <c r="G106" s="733">
        <f t="shared" si="8"/>
        <v>0</v>
      </c>
      <c r="H106" s="733"/>
      <c r="I106" s="733">
        <f t="shared" ref="I106:K107" si="12">(M106+Q106)/2</f>
        <v>0</v>
      </c>
      <c r="J106" s="733">
        <f t="shared" si="12"/>
        <v>0</v>
      </c>
      <c r="K106" s="733">
        <f t="shared" si="12"/>
        <v>0</v>
      </c>
      <c r="L106" s="733"/>
      <c r="M106" s="733"/>
      <c r="N106" s="733"/>
      <c r="O106" s="733"/>
      <c r="P106" s="733"/>
      <c r="Q106" s="733"/>
      <c r="R106" s="733"/>
      <c r="S106" s="733"/>
    </row>
    <row r="107" spans="1:256">
      <c r="A107" s="747">
        <f t="shared" si="10"/>
        <v>2.9099999999999806</v>
      </c>
      <c r="B107" s="725"/>
      <c r="C107" s="733">
        <f>SUM(M107:O107)</f>
        <v>0</v>
      </c>
      <c r="D107" s="733">
        <f>SUM(Q107:S107)</f>
        <v>0</v>
      </c>
      <c r="E107" s="733"/>
      <c r="F107" s="733"/>
      <c r="G107" s="733">
        <f t="shared" si="8"/>
        <v>0</v>
      </c>
      <c r="H107" s="733"/>
      <c r="I107" s="733">
        <f t="shared" si="12"/>
        <v>0</v>
      </c>
      <c r="J107" s="733">
        <f t="shared" si="12"/>
        <v>0</v>
      </c>
      <c r="K107" s="733">
        <f t="shared" si="12"/>
        <v>0</v>
      </c>
      <c r="L107" s="733"/>
      <c r="M107" s="725"/>
      <c r="N107" s="725"/>
      <c r="O107" s="725"/>
      <c r="P107" s="733"/>
      <c r="Q107" s="725"/>
      <c r="R107" s="725"/>
      <c r="S107" s="725"/>
    </row>
    <row r="108" spans="1:256">
      <c r="A108" s="742"/>
      <c r="B108" s="733"/>
      <c r="C108" s="733"/>
      <c r="D108" s="733"/>
      <c r="E108" s="733"/>
      <c r="F108" s="733"/>
      <c r="G108" s="733"/>
      <c r="H108" s="733"/>
      <c r="I108" s="733"/>
      <c r="J108" s="733"/>
      <c r="K108" s="733"/>
      <c r="L108" s="733"/>
      <c r="M108" s="733"/>
      <c r="N108" s="733"/>
      <c r="O108" s="733"/>
      <c r="P108" s="733"/>
      <c r="Q108" s="733"/>
      <c r="R108" s="733"/>
      <c r="S108" s="733"/>
    </row>
    <row r="109" spans="1:256" ht="13.5" thickBot="1">
      <c r="A109" s="724">
        <v>3</v>
      </c>
      <c r="B109" s="733" t="s">
        <v>691</v>
      </c>
      <c r="C109" s="743">
        <f>SUM(C17:C108)</f>
        <v>0</v>
      </c>
      <c r="D109" s="743">
        <f>SUM(D17:D108)</f>
        <v>0</v>
      </c>
      <c r="E109" s="743">
        <f>SUM(E17:E108)</f>
        <v>0</v>
      </c>
      <c r="F109" s="743">
        <f>SUM(F17:F108)</f>
        <v>0</v>
      </c>
      <c r="G109" s="743">
        <f>SUM(G17:G108)</f>
        <v>0</v>
      </c>
      <c r="H109" s="733"/>
      <c r="I109" s="743">
        <f>SUM(I17:I108)</f>
        <v>0</v>
      </c>
      <c r="J109" s="743">
        <f>SUM(J17:J108)</f>
        <v>0</v>
      </c>
      <c r="K109" s="743">
        <f>SUM(K17:K108)</f>
        <v>0</v>
      </c>
      <c r="L109" s="733"/>
      <c r="M109" s="743">
        <f>SUM(M17:M108)</f>
        <v>0</v>
      </c>
      <c r="N109" s="743">
        <f>SUM(N17:N108)</f>
        <v>0</v>
      </c>
      <c r="O109" s="743">
        <f>SUM(O17:O108)</f>
        <v>0</v>
      </c>
      <c r="P109" s="733"/>
      <c r="Q109" s="743">
        <f>SUM(Q17:Q108)</f>
        <v>0</v>
      </c>
      <c r="R109" s="743">
        <f>SUM(R17:R108)</f>
        <v>0</v>
      </c>
      <c r="S109" s="743">
        <f>SUM(S17:S108)</f>
        <v>0</v>
      </c>
    </row>
    <row r="110" spans="1:256" ht="13.5" thickTop="1">
      <c r="A110" s="724">
        <v>4</v>
      </c>
      <c r="B110" s="727" t="s">
        <v>692</v>
      </c>
      <c r="C110" s="733">
        <f>C77+C78</f>
        <v>0</v>
      </c>
      <c r="D110" s="733">
        <f>D77+D78</f>
        <v>0</v>
      </c>
      <c r="E110" s="733">
        <f>E77+E78</f>
        <v>0</v>
      </c>
      <c r="F110" s="733">
        <f>F77+F78</f>
        <v>0</v>
      </c>
      <c r="G110" s="733">
        <f>G77+G78</f>
        <v>0</v>
      </c>
      <c r="I110" s="733">
        <f>I77+I78</f>
        <v>0</v>
      </c>
      <c r="J110" s="733">
        <f>J77+J78</f>
        <v>0</v>
      </c>
      <c r="K110" s="733">
        <f>K77+K78</f>
        <v>0</v>
      </c>
      <c r="M110" s="733">
        <f>M77+M78</f>
        <v>0</v>
      </c>
      <c r="N110" s="733">
        <f>N77+N78</f>
        <v>0</v>
      </c>
      <c r="O110" s="733">
        <f>O77+O78</f>
        <v>0</v>
      </c>
      <c r="Q110" s="733">
        <f>Q77+Q78</f>
        <v>0</v>
      </c>
      <c r="R110" s="733">
        <f>R77+R78</f>
        <v>0</v>
      </c>
      <c r="S110" s="733">
        <f>S77+S78</f>
        <v>0</v>
      </c>
      <c r="IV110" s="733"/>
    </row>
    <row r="111" spans="1:256">
      <c r="I111" s="733"/>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87"/>
  <sheetViews>
    <sheetView workbookViewId="0">
      <selection activeCell="E14" sqref="E14"/>
    </sheetView>
  </sheetViews>
  <sheetFormatPr defaultColWidth="10" defaultRowHeight="12"/>
  <cols>
    <col min="1" max="1" width="9.42578125" style="947" customWidth="1"/>
    <col min="2" max="2" width="20.85546875" style="948" customWidth="1"/>
    <col min="3" max="3" width="35.5703125" style="947" customWidth="1"/>
    <col min="4" max="4" width="12.85546875" style="947" customWidth="1"/>
    <col min="5" max="5" width="10.42578125" style="947" customWidth="1"/>
    <col min="6" max="6" width="16.42578125" style="947" customWidth="1"/>
    <col min="7" max="7" width="12" style="947" customWidth="1"/>
    <col min="8" max="8" width="14.28515625" style="947" bestFit="1" customWidth="1"/>
    <col min="9" max="9" width="18.85546875" style="947" customWidth="1"/>
    <col min="10" max="10" width="15.5703125" style="947" customWidth="1"/>
    <col min="11" max="11" width="16.140625" style="947" customWidth="1"/>
    <col min="12" max="13" width="15" style="947" customWidth="1"/>
    <col min="14" max="14" width="13.5703125" style="947" customWidth="1"/>
    <col min="15" max="15" width="15" style="947" customWidth="1"/>
    <col min="16" max="17" width="17.5703125" style="947" customWidth="1"/>
    <col min="18" max="18" width="33" style="947" customWidth="1"/>
    <col min="19" max="19" width="15" style="947" customWidth="1"/>
    <col min="20" max="21" width="14.5703125" style="947" bestFit="1" customWidth="1"/>
    <col min="22" max="22" width="10.5703125" style="947" bestFit="1" customWidth="1"/>
    <col min="23" max="16384" width="10" style="947"/>
  </cols>
  <sheetData>
    <row r="1" spans="1:23" ht="12.75">
      <c r="A1" s="947" t="s">
        <v>832</v>
      </c>
      <c r="R1" s="949"/>
    </row>
    <row r="2" spans="1:23" ht="12.75">
      <c r="A2" s="947" t="s">
        <v>833</v>
      </c>
      <c r="R2" s="949"/>
      <c r="V2" s="950"/>
    </row>
    <row r="3" spans="1:23" ht="12.75">
      <c r="A3" s="947" t="s">
        <v>834</v>
      </c>
      <c r="R3" s="949"/>
      <c r="V3" s="951"/>
    </row>
    <row r="4" spans="1:23">
      <c r="A4" s="947" t="s">
        <v>912</v>
      </c>
      <c r="G4" s="988"/>
    </row>
    <row r="5" spans="1:23">
      <c r="A5" s="947" t="s">
        <v>835</v>
      </c>
      <c r="I5" s="952"/>
      <c r="J5" s="952"/>
      <c r="P5" s="952"/>
      <c r="Q5" s="952"/>
    </row>
    <row r="6" spans="1:23">
      <c r="J6" s="952"/>
      <c r="K6" s="953"/>
      <c r="L6" s="948"/>
      <c r="M6" s="948"/>
      <c r="N6" s="948"/>
      <c r="O6" s="948"/>
      <c r="P6" s="948"/>
      <c r="Q6" s="948"/>
    </row>
    <row r="7" spans="1:23">
      <c r="B7" s="954"/>
      <c r="C7" s="954"/>
      <c r="D7" s="954"/>
      <c r="E7" s="954"/>
      <c r="F7" s="954"/>
      <c r="G7" s="954"/>
      <c r="H7" s="954"/>
      <c r="I7" s="954"/>
      <c r="J7" s="954"/>
      <c r="K7" s="954"/>
      <c r="L7" s="954"/>
      <c r="M7" s="954"/>
      <c r="N7" s="954"/>
      <c r="O7" s="954"/>
      <c r="P7" s="954"/>
      <c r="Q7" s="948"/>
    </row>
    <row r="8" spans="1:23">
      <c r="A8" s="948" t="s">
        <v>446</v>
      </c>
      <c r="B8" s="948" t="s">
        <v>447</v>
      </c>
      <c r="C8" s="948" t="s">
        <v>448</v>
      </c>
      <c r="D8" s="948" t="s">
        <v>449</v>
      </c>
      <c r="E8" s="948" t="s">
        <v>450</v>
      </c>
      <c r="F8" s="948" t="s">
        <v>451</v>
      </c>
      <c r="G8" s="948" t="s">
        <v>452</v>
      </c>
      <c r="H8" s="948" t="s">
        <v>453</v>
      </c>
      <c r="I8" s="948" t="s">
        <v>836</v>
      </c>
      <c r="J8" s="948" t="s">
        <v>837</v>
      </c>
      <c r="K8" s="948" t="s">
        <v>456</v>
      </c>
      <c r="L8" s="948" t="s">
        <v>457</v>
      </c>
      <c r="M8" s="948" t="s">
        <v>458</v>
      </c>
      <c r="N8" s="948" t="s">
        <v>31</v>
      </c>
      <c r="O8" s="948" t="s">
        <v>107</v>
      </c>
      <c r="P8" s="948" t="s">
        <v>152</v>
      </c>
      <c r="Q8" s="948" t="s">
        <v>153</v>
      </c>
      <c r="R8" s="948" t="s">
        <v>154</v>
      </c>
    </row>
    <row r="9" spans="1:23" ht="14.45" customHeight="1">
      <c r="B9"/>
      <c r="C9"/>
      <c r="D9"/>
      <c r="E9"/>
      <c r="I9" s="1153" t="s">
        <v>910</v>
      </c>
      <c r="J9" s="1153"/>
      <c r="K9" s="1154" t="s">
        <v>838</v>
      </c>
      <c r="L9" s="1154"/>
      <c r="M9" s="1154"/>
      <c r="N9" s="1155" t="s">
        <v>839</v>
      </c>
      <c r="O9" s="1155"/>
      <c r="P9" s="1153" t="s">
        <v>911</v>
      </c>
      <c r="Q9" s="1153"/>
    </row>
    <row r="10" spans="1:23" ht="69.95" customHeight="1">
      <c r="A10" s="955" t="s">
        <v>840</v>
      </c>
      <c r="B10" s="956" t="s">
        <v>841</v>
      </c>
      <c r="C10" s="956" t="s">
        <v>842</v>
      </c>
      <c r="D10" s="957" t="s">
        <v>843</v>
      </c>
      <c r="E10" s="957" t="s">
        <v>844</v>
      </c>
      <c r="F10" s="957" t="s">
        <v>845</v>
      </c>
      <c r="G10" s="957" t="s">
        <v>846</v>
      </c>
      <c r="H10" s="957" t="s">
        <v>847</v>
      </c>
      <c r="I10" s="958" t="s">
        <v>848</v>
      </c>
      <c r="J10" s="958" t="s">
        <v>849</v>
      </c>
      <c r="K10" s="957" t="s">
        <v>850</v>
      </c>
      <c r="L10" s="957">
        <v>182.3</v>
      </c>
      <c r="M10" s="957">
        <v>254</v>
      </c>
      <c r="N10" s="957" t="s">
        <v>851</v>
      </c>
      <c r="O10" s="957" t="s">
        <v>852</v>
      </c>
      <c r="P10" s="958" t="s">
        <v>848</v>
      </c>
      <c r="Q10" s="958" t="s">
        <v>849</v>
      </c>
      <c r="R10" s="959" t="s">
        <v>853</v>
      </c>
    </row>
    <row r="11" spans="1:23">
      <c r="B11" s="947"/>
      <c r="D11" s="960"/>
      <c r="E11" s="960"/>
      <c r="F11" s="960"/>
      <c r="G11" s="960"/>
      <c r="H11" s="960"/>
      <c r="I11" s="960"/>
      <c r="J11" s="960"/>
      <c r="K11" s="960"/>
      <c r="L11" s="960"/>
      <c r="M11" s="960"/>
      <c r="N11" s="960"/>
      <c r="O11" s="960"/>
      <c r="P11" s="1156" t="s">
        <v>854</v>
      </c>
      <c r="Q11" s="1156"/>
      <c r="R11" s="959"/>
    </row>
    <row r="12" spans="1:23">
      <c r="B12" s="961" t="s">
        <v>855</v>
      </c>
      <c r="C12" s="962"/>
      <c r="D12" s="962"/>
      <c r="E12" s="962"/>
      <c r="F12" s="962"/>
      <c r="G12" s="962"/>
      <c r="H12" s="962"/>
      <c r="I12" s="962"/>
      <c r="J12" s="962"/>
      <c r="K12" s="962"/>
      <c r="L12" s="962"/>
      <c r="M12" s="962"/>
      <c r="N12" s="962"/>
      <c r="O12" s="962"/>
      <c r="P12" s="962"/>
      <c r="Q12" s="962"/>
      <c r="R12" s="951"/>
      <c r="S12" s="951"/>
      <c r="T12" s="951"/>
      <c r="U12" s="951"/>
      <c r="V12" s="951"/>
      <c r="W12" s="951"/>
    </row>
    <row r="13" spans="1:23">
      <c r="A13" s="947" t="s">
        <v>856</v>
      </c>
      <c r="B13" s="963" t="s">
        <v>857</v>
      </c>
      <c r="C13" s="947" t="s">
        <v>858</v>
      </c>
      <c r="D13" s="947" t="s">
        <v>859</v>
      </c>
      <c r="E13" s="947" t="s">
        <v>860</v>
      </c>
      <c r="F13" s="948"/>
      <c r="I13" s="964"/>
      <c r="J13" s="965"/>
      <c r="K13" s="964"/>
      <c r="L13" s="964"/>
      <c r="M13" s="964"/>
      <c r="N13" s="964"/>
      <c r="O13" s="964"/>
      <c r="P13" s="966">
        <f>SUM(I13:O13)</f>
        <v>0</v>
      </c>
      <c r="Q13" s="967" t="s">
        <v>414</v>
      </c>
      <c r="R13" s="968" t="s">
        <v>901</v>
      </c>
      <c r="S13" s="951"/>
      <c r="T13" s="951"/>
      <c r="U13" s="951"/>
      <c r="V13" s="951"/>
      <c r="W13" s="951"/>
    </row>
    <row r="14" spans="1:23">
      <c r="A14" s="947" t="s">
        <v>861</v>
      </c>
      <c r="B14" s="963" t="s">
        <v>862</v>
      </c>
      <c r="C14" s="947" t="s">
        <v>863</v>
      </c>
      <c r="D14" s="947" t="s">
        <v>864</v>
      </c>
      <c r="E14" s="947" t="s">
        <v>860</v>
      </c>
      <c r="F14" s="969">
        <v>-106249253</v>
      </c>
      <c r="G14" s="970" t="s">
        <v>865</v>
      </c>
      <c r="H14" s="970" t="s">
        <v>866</v>
      </c>
      <c r="J14" s="964"/>
      <c r="K14" s="964"/>
      <c r="L14" s="964"/>
      <c r="M14" s="964"/>
      <c r="N14" s="964"/>
      <c r="O14" s="964"/>
      <c r="P14" s="971" t="s">
        <v>414</v>
      </c>
      <c r="Q14" s="972">
        <f>SUM(J14:O14)</f>
        <v>0</v>
      </c>
      <c r="R14" s="968" t="s">
        <v>902</v>
      </c>
      <c r="S14" s="951"/>
      <c r="T14" s="951"/>
      <c r="U14" s="951"/>
      <c r="V14" s="951"/>
      <c r="W14" s="951"/>
    </row>
    <row r="15" spans="1:23">
      <c r="A15" s="947" t="s">
        <v>867</v>
      </c>
      <c r="B15" s="963" t="s">
        <v>862</v>
      </c>
      <c r="C15" s="947" t="s">
        <v>863</v>
      </c>
      <c r="D15" s="947" t="s">
        <v>868</v>
      </c>
      <c r="E15" s="947" t="s">
        <v>860</v>
      </c>
      <c r="F15" s="989">
        <v>2532427</v>
      </c>
      <c r="G15" s="970" t="s">
        <v>869</v>
      </c>
      <c r="H15" s="970" t="s">
        <v>870</v>
      </c>
      <c r="J15" s="964"/>
      <c r="K15" s="964"/>
      <c r="L15" s="964"/>
      <c r="M15" s="964"/>
      <c r="N15" s="964"/>
      <c r="O15" s="964"/>
      <c r="P15" s="971"/>
      <c r="Q15" s="972">
        <f>SUM(J15:O15)</f>
        <v>0</v>
      </c>
      <c r="R15" s="990" t="s">
        <v>903</v>
      </c>
      <c r="S15" s="951"/>
      <c r="T15" s="951"/>
      <c r="U15" s="951"/>
      <c r="V15" s="951"/>
      <c r="W15" s="951"/>
    </row>
    <row r="16" spans="1:23">
      <c r="A16" s="947" t="s">
        <v>871</v>
      </c>
      <c r="B16" s="963" t="s">
        <v>872</v>
      </c>
      <c r="C16" s="947" t="s">
        <v>873</v>
      </c>
      <c r="D16" s="947" t="s">
        <v>864</v>
      </c>
      <c r="E16" s="947" t="s">
        <v>860</v>
      </c>
      <c r="F16" s="989"/>
      <c r="G16" s="970"/>
      <c r="H16" s="970"/>
      <c r="I16" s="964"/>
      <c r="J16" s="965"/>
      <c r="K16" s="964"/>
      <c r="L16" s="964"/>
      <c r="M16" s="964"/>
      <c r="N16" s="964"/>
      <c r="O16" s="964"/>
      <c r="P16" s="966">
        <f>SUM(I16:O16)</f>
        <v>0</v>
      </c>
      <c r="Q16" s="965"/>
      <c r="R16" s="1157" t="s">
        <v>904</v>
      </c>
      <c r="S16" s="951"/>
      <c r="T16" s="951"/>
      <c r="U16" s="951"/>
      <c r="V16" s="951"/>
      <c r="W16" s="951"/>
    </row>
    <row r="17" spans="1:23">
      <c r="A17" s="947" t="s">
        <v>874</v>
      </c>
      <c r="B17" s="963" t="s">
        <v>872</v>
      </c>
      <c r="C17" s="947" t="s">
        <v>873</v>
      </c>
      <c r="D17" s="947" t="s">
        <v>868</v>
      </c>
      <c r="E17" s="947" t="s">
        <v>860</v>
      </c>
      <c r="F17" s="989"/>
      <c r="G17" s="970"/>
      <c r="H17" s="970"/>
      <c r="I17" s="964"/>
      <c r="J17" s="965"/>
      <c r="K17" s="964"/>
      <c r="L17" s="964"/>
      <c r="M17" s="964"/>
      <c r="N17" s="964"/>
      <c r="O17" s="964"/>
      <c r="P17" s="966">
        <f>SUM(I17:O17)</f>
        <v>0</v>
      </c>
      <c r="Q17" s="965"/>
      <c r="R17" s="1157"/>
      <c r="S17" s="951"/>
      <c r="T17" s="951"/>
      <c r="U17" s="951"/>
      <c r="V17" s="951"/>
      <c r="W17" s="951"/>
    </row>
    <row r="18" spans="1:23">
      <c r="A18" s="947" t="s">
        <v>875</v>
      </c>
      <c r="B18" s="963" t="s">
        <v>876</v>
      </c>
      <c r="C18" s="947" t="s">
        <v>877</v>
      </c>
      <c r="D18" s="947" t="s">
        <v>868</v>
      </c>
      <c r="E18" s="947" t="s">
        <v>860</v>
      </c>
      <c r="F18" s="989">
        <v>3966093</v>
      </c>
      <c r="G18" s="970" t="s">
        <v>869</v>
      </c>
      <c r="H18" s="970" t="s">
        <v>870</v>
      </c>
      <c r="J18" s="964"/>
      <c r="K18" s="964"/>
      <c r="L18" s="964"/>
      <c r="M18" s="964"/>
      <c r="N18" s="964"/>
      <c r="O18" s="964"/>
      <c r="P18" s="971" t="s">
        <v>414</v>
      </c>
      <c r="Q18" s="972">
        <f>SUM(J18:O18)</f>
        <v>0</v>
      </c>
      <c r="R18" s="968" t="s">
        <v>905</v>
      </c>
      <c r="S18" s="951"/>
      <c r="T18" s="951"/>
      <c r="U18" s="951"/>
      <c r="V18" s="951"/>
      <c r="W18" s="951"/>
    </row>
    <row r="19" spans="1:23">
      <c r="A19" s="947" t="s">
        <v>878</v>
      </c>
      <c r="B19" s="963" t="s">
        <v>879</v>
      </c>
      <c r="C19" s="947" t="s">
        <v>880</v>
      </c>
      <c r="D19" s="947" t="s">
        <v>868</v>
      </c>
      <c r="E19" s="947" t="s">
        <v>860</v>
      </c>
      <c r="F19" s="969"/>
      <c r="G19" s="970"/>
      <c r="H19" s="970"/>
      <c r="I19" s="964"/>
      <c r="J19" s="965"/>
      <c r="K19" s="964"/>
      <c r="L19" s="964"/>
      <c r="M19" s="964"/>
      <c r="N19" s="964"/>
      <c r="O19" s="964"/>
      <c r="P19" s="966">
        <f>SUM(I19:O19)</f>
        <v>0</v>
      </c>
      <c r="Q19" s="971"/>
      <c r="R19" s="968" t="s">
        <v>906</v>
      </c>
      <c r="S19" s="951"/>
      <c r="T19" s="951"/>
      <c r="U19" s="951"/>
      <c r="V19" s="951"/>
      <c r="W19" s="951"/>
    </row>
    <row r="20" spans="1:23">
      <c r="A20" s="947" t="s">
        <v>881</v>
      </c>
      <c r="B20" s="970" t="s">
        <v>882</v>
      </c>
      <c r="F20" s="969"/>
      <c r="G20" s="970"/>
      <c r="H20" s="970"/>
      <c r="I20" s="964"/>
      <c r="J20" s="964"/>
      <c r="K20" s="964"/>
      <c r="L20" s="964"/>
      <c r="M20" s="964"/>
      <c r="N20" s="964"/>
      <c r="O20" s="964"/>
      <c r="P20" s="967"/>
      <c r="Q20" s="966"/>
      <c r="R20" s="973"/>
      <c r="S20" s="951"/>
      <c r="T20" s="951"/>
      <c r="U20" s="951"/>
      <c r="V20" s="951"/>
      <c r="W20" s="951"/>
    </row>
    <row r="21" spans="1:23" ht="12.75">
      <c r="B21"/>
      <c r="C21"/>
      <c r="D21"/>
      <c r="E21"/>
      <c r="F21"/>
      <c r="G21"/>
      <c r="H21"/>
      <c r="I21"/>
      <c r="J21"/>
      <c r="K21"/>
      <c r="L21"/>
      <c r="M21"/>
      <c r="N21"/>
      <c r="O21"/>
      <c r="P21"/>
      <c r="Q21"/>
      <c r="R21"/>
      <c r="S21" s="951"/>
      <c r="T21" s="951"/>
      <c r="U21" s="951"/>
      <c r="V21" s="951"/>
      <c r="W21" s="951"/>
    </row>
    <row r="22" spans="1:23" s="951" customFormat="1">
      <c r="A22" s="947"/>
      <c r="B22" s="961" t="s">
        <v>883</v>
      </c>
    </row>
    <row r="23" spans="1:23" ht="11.45" customHeight="1">
      <c r="A23" s="947" t="s">
        <v>884</v>
      </c>
      <c r="B23" s="948">
        <v>182.3</v>
      </c>
      <c r="C23" s="974" t="s">
        <v>885</v>
      </c>
      <c r="D23" s="975" t="s">
        <v>414</v>
      </c>
      <c r="E23" s="947" t="s">
        <v>860</v>
      </c>
      <c r="F23" s="975"/>
      <c r="G23" s="975" t="s">
        <v>414</v>
      </c>
      <c r="H23" s="975"/>
      <c r="I23" s="976"/>
      <c r="J23" s="964"/>
      <c r="K23" s="964"/>
      <c r="L23" s="964"/>
      <c r="M23" s="964"/>
      <c r="N23" s="964"/>
      <c r="O23" s="965"/>
      <c r="P23" s="967">
        <f>SUM(I23:O23)</f>
        <v>0</v>
      </c>
      <c r="Q23" s="977"/>
      <c r="R23" s="968" t="s">
        <v>886</v>
      </c>
      <c r="S23" s="951"/>
      <c r="T23" s="951"/>
      <c r="U23" s="951"/>
      <c r="V23" s="951"/>
      <c r="W23" s="951"/>
    </row>
    <row r="24" spans="1:23" ht="11.45" customHeight="1">
      <c r="A24" s="947" t="s">
        <v>887</v>
      </c>
      <c r="B24" s="948">
        <v>254</v>
      </c>
      <c r="C24" s="974" t="s">
        <v>888</v>
      </c>
      <c r="D24" s="975" t="s">
        <v>414</v>
      </c>
      <c r="E24" s="947" t="s">
        <v>860</v>
      </c>
      <c r="F24" s="975"/>
      <c r="G24" s="975" t="s">
        <v>414</v>
      </c>
      <c r="H24" s="975"/>
      <c r="I24" s="976"/>
      <c r="J24" s="964"/>
      <c r="K24" s="964"/>
      <c r="L24" s="964"/>
      <c r="M24" s="964"/>
      <c r="N24" s="964"/>
      <c r="O24" s="965"/>
      <c r="P24" s="967">
        <f>SUM(I24:O24)</f>
        <v>0</v>
      </c>
      <c r="Q24" s="977"/>
      <c r="R24" s="968" t="s">
        <v>889</v>
      </c>
      <c r="S24" s="951"/>
      <c r="T24" s="951"/>
      <c r="U24" s="951"/>
      <c r="V24" s="951"/>
      <c r="W24" s="951"/>
    </row>
    <row r="25" spans="1:23" ht="11.45" customHeight="1">
      <c r="A25" s="947" t="s">
        <v>890</v>
      </c>
      <c r="B25" s="970" t="s">
        <v>882</v>
      </c>
      <c r="C25" s="974"/>
      <c r="D25" s="975"/>
      <c r="F25" s="975"/>
      <c r="G25" s="975"/>
      <c r="H25" s="975"/>
      <c r="I25" s="964"/>
      <c r="J25" s="964"/>
      <c r="K25" s="964"/>
      <c r="L25" s="964"/>
      <c r="M25" s="964"/>
      <c r="N25" s="964"/>
      <c r="O25" s="975"/>
      <c r="P25" s="977"/>
      <c r="Q25" s="977"/>
      <c r="R25" s="968"/>
      <c r="S25" s="951"/>
      <c r="T25" s="951"/>
      <c r="U25" s="951"/>
      <c r="V25" s="951"/>
      <c r="W25" s="951"/>
    </row>
    <row r="26" spans="1:23">
      <c r="C26" s="974"/>
      <c r="D26" s="954"/>
      <c r="E26" s="954"/>
      <c r="F26" s="954"/>
      <c r="G26" s="954"/>
      <c r="H26" s="954"/>
      <c r="I26" s="954"/>
      <c r="J26" s="954"/>
      <c r="K26" s="954"/>
      <c r="L26" s="954"/>
      <c r="M26" s="954"/>
      <c r="N26" s="954"/>
      <c r="O26" s="954"/>
      <c r="P26" s="954"/>
      <c r="Q26" s="954"/>
      <c r="R26" s="978"/>
      <c r="S26" s="951"/>
      <c r="T26" s="951"/>
      <c r="U26" s="951"/>
      <c r="V26" s="951"/>
      <c r="W26" s="951"/>
    </row>
    <row r="27" spans="1:23" ht="12.75" thickBot="1">
      <c r="A27" s="979">
        <v>3</v>
      </c>
      <c r="B27" s="1158" t="str">
        <f>"Total For Accounting Entires (Sum of Lines "&amp;A13&amp;" through "&amp;A24&amp;")"</f>
        <v>Total For Accounting Entires (Sum of Lines 1a through 2b)</v>
      </c>
      <c r="C27" s="1158"/>
      <c r="D27" s="975"/>
      <c r="E27" s="975"/>
      <c r="F27" s="975"/>
      <c r="G27" s="975"/>
      <c r="H27" s="975"/>
      <c r="I27" s="991">
        <f>SUM(I13:I26)</f>
        <v>0</v>
      </c>
      <c r="J27" s="992">
        <f>SUM(J13:J26)</f>
        <v>0</v>
      </c>
      <c r="K27" s="993">
        <f>SUM(K13:K26)</f>
        <v>0</v>
      </c>
      <c r="L27" s="993">
        <f>SUM(L13:L26)</f>
        <v>0</v>
      </c>
      <c r="M27" s="993">
        <f>SUM(M13:M26)</f>
        <v>0</v>
      </c>
      <c r="N27" s="992">
        <f>-SUM(N13:N26)</f>
        <v>0</v>
      </c>
      <c r="O27" s="992">
        <f>-SUM(O13:O26)</f>
        <v>0</v>
      </c>
      <c r="P27" s="993">
        <f>SUM(P13:P26)</f>
        <v>0</v>
      </c>
      <c r="Q27" s="992">
        <f>SUM(Q13:Q26)</f>
        <v>0</v>
      </c>
      <c r="R27" s="980"/>
      <c r="S27" s="951"/>
      <c r="T27" s="951"/>
      <c r="U27" s="951"/>
      <c r="V27" s="951"/>
      <c r="W27" s="951"/>
    </row>
    <row r="28" spans="1:23" ht="12.75" thickTop="1">
      <c r="C28" s="974"/>
      <c r="D28" s="954"/>
      <c r="E28" s="954"/>
      <c r="F28" s="954"/>
      <c r="G28" s="954"/>
      <c r="H28" s="954"/>
      <c r="I28" s="994"/>
      <c r="J28" s="989"/>
      <c r="K28" s="995"/>
      <c r="L28" s="995"/>
      <c r="M28" s="995"/>
      <c r="N28" s="996" t="s">
        <v>891</v>
      </c>
      <c r="O28" s="996"/>
      <c r="P28" s="995"/>
      <c r="Q28" s="997"/>
      <c r="R28" s="980"/>
      <c r="S28" s="951"/>
      <c r="T28" s="951"/>
      <c r="U28" s="951"/>
      <c r="V28" s="951"/>
      <c r="W28" s="951"/>
    </row>
    <row r="29" spans="1:23">
      <c r="B29" s="947"/>
      <c r="C29" s="974"/>
      <c r="D29" s="954"/>
      <c r="E29" s="954"/>
      <c r="F29" s="954"/>
      <c r="G29" s="954"/>
      <c r="H29" s="954"/>
      <c r="I29" s="994"/>
      <c r="J29" s="997"/>
      <c r="K29" s="995"/>
      <c r="L29" s="995"/>
      <c r="M29" s="995"/>
      <c r="N29" s="997"/>
      <c r="O29" s="997"/>
      <c r="P29" s="995"/>
      <c r="Q29" s="997"/>
      <c r="R29" s="980"/>
      <c r="S29" s="951"/>
      <c r="T29" s="951"/>
      <c r="U29" s="951"/>
      <c r="V29" s="951"/>
      <c r="W29" s="951"/>
    </row>
    <row r="30" spans="1:23" ht="15" customHeight="1">
      <c r="A30" s="981" t="s">
        <v>892</v>
      </c>
      <c r="B30" s="1159" t="s">
        <v>893</v>
      </c>
      <c r="C30" s="1159"/>
      <c r="D30" s="1159"/>
      <c r="E30" s="1159"/>
      <c r="F30" s="1159"/>
      <c r="G30" s="1159"/>
      <c r="H30" s="1159"/>
      <c r="I30" s="1159"/>
      <c r="J30" s="1159"/>
      <c r="K30" s="982"/>
      <c r="O30" s="983"/>
      <c r="P30" s="983"/>
      <c r="Q30" s="983"/>
      <c r="R30" s="951"/>
    </row>
    <row r="31" spans="1:23">
      <c r="B31" s="1159"/>
      <c r="C31" s="1159"/>
      <c r="D31" s="1159"/>
      <c r="E31" s="1159"/>
      <c r="F31" s="1159"/>
      <c r="G31" s="1159"/>
      <c r="H31" s="1159"/>
      <c r="I31" s="1159"/>
      <c r="J31" s="1159"/>
      <c r="K31" s="982"/>
      <c r="O31" s="983"/>
      <c r="R31" s="951"/>
    </row>
    <row r="32" spans="1:23">
      <c r="B32" s="1159"/>
      <c r="C32" s="1159"/>
      <c r="D32" s="1159"/>
      <c r="E32" s="1159"/>
      <c r="F32" s="1159"/>
      <c r="G32" s="1159"/>
      <c r="H32" s="1159"/>
      <c r="I32" s="1159"/>
      <c r="J32" s="1159"/>
      <c r="K32" s="982"/>
      <c r="R32" s="951"/>
    </row>
    <row r="33" spans="1:18">
      <c r="B33" s="1159"/>
      <c r="C33" s="1159"/>
      <c r="D33" s="1159"/>
      <c r="E33" s="1159"/>
      <c r="F33" s="1159"/>
      <c r="G33" s="1159"/>
      <c r="H33" s="1159"/>
      <c r="I33" s="1159"/>
      <c r="J33" s="1159"/>
      <c r="K33" s="982"/>
      <c r="P33" s="983"/>
      <c r="Q33" s="983"/>
      <c r="R33" s="951"/>
    </row>
    <row r="34" spans="1:18">
      <c r="B34" s="1159"/>
      <c r="C34" s="1159"/>
      <c r="D34" s="1159"/>
      <c r="E34" s="1159"/>
      <c r="F34" s="1159"/>
      <c r="G34" s="1159"/>
      <c r="H34" s="1159"/>
      <c r="I34" s="1159"/>
      <c r="J34" s="1159"/>
      <c r="K34" s="982"/>
      <c r="R34" s="951"/>
    </row>
    <row r="35" spans="1:18">
      <c r="B35" s="1159"/>
      <c r="C35" s="1159"/>
      <c r="D35" s="1159"/>
      <c r="E35" s="1159"/>
      <c r="F35" s="1159"/>
      <c r="G35" s="1159"/>
      <c r="H35" s="1159"/>
      <c r="I35" s="1159"/>
      <c r="J35" s="1159"/>
      <c r="K35" s="982"/>
      <c r="R35" s="951"/>
    </row>
    <row r="36" spans="1:18" ht="5.0999999999999996" customHeight="1">
      <c r="B36" s="982"/>
      <c r="C36" s="982"/>
      <c r="D36" s="982"/>
      <c r="E36" s="982"/>
      <c r="F36" s="982"/>
      <c r="G36" s="982"/>
      <c r="H36" s="982"/>
      <c r="I36" s="982"/>
      <c r="J36" s="982"/>
      <c r="K36" s="982"/>
      <c r="R36" s="951"/>
    </row>
    <row r="37" spans="1:18" ht="12.6" customHeight="1">
      <c r="A37" s="947" t="s">
        <v>894</v>
      </c>
      <c r="B37" s="984" t="s">
        <v>895</v>
      </c>
      <c r="C37" s="984"/>
      <c r="D37" s="984"/>
      <c r="E37" s="984"/>
      <c r="F37" s="984"/>
      <c r="G37" s="984"/>
      <c r="H37" s="984"/>
      <c r="I37" s="984"/>
      <c r="J37" s="984"/>
      <c r="K37" s="982"/>
      <c r="R37" s="951"/>
    </row>
    <row r="38" spans="1:18" ht="5.0999999999999996" customHeight="1">
      <c r="B38" s="982"/>
      <c r="C38" s="982"/>
      <c r="D38" s="982"/>
      <c r="E38" s="982"/>
      <c r="F38" s="982"/>
      <c r="G38" s="982"/>
      <c r="H38" s="982"/>
      <c r="I38" s="982"/>
      <c r="J38" s="982"/>
      <c r="K38" s="982"/>
      <c r="R38" s="951"/>
    </row>
    <row r="39" spans="1:18" ht="12.6" customHeight="1">
      <c r="A39" s="947" t="s">
        <v>896</v>
      </c>
      <c r="B39" s="1159" t="s">
        <v>897</v>
      </c>
      <c r="C39" s="1159"/>
      <c r="D39" s="1159"/>
      <c r="E39" s="1159"/>
      <c r="F39" s="1159"/>
      <c r="G39" s="1159"/>
      <c r="H39" s="1159"/>
      <c r="I39" s="1159"/>
      <c r="J39" s="1159"/>
      <c r="K39" s="982"/>
      <c r="R39" s="951"/>
    </row>
    <row r="40" spans="1:18" ht="12.6" customHeight="1">
      <c r="B40" s="1159"/>
      <c r="C40" s="1159"/>
      <c r="D40" s="1159"/>
      <c r="E40" s="1159"/>
      <c r="F40" s="1159"/>
      <c r="G40" s="1159"/>
      <c r="H40" s="1159"/>
      <c r="I40" s="1159"/>
      <c r="J40" s="1159"/>
      <c r="K40" s="982"/>
      <c r="R40" s="951"/>
    </row>
    <row r="41" spans="1:18" ht="5.0999999999999996" customHeight="1">
      <c r="B41" s="982"/>
      <c r="C41" s="982"/>
      <c r="D41" s="982"/>
      <c r="E41" s="982"/>
      <c r="F41" s="982"/>
      <c r="G41" s="982"/>
      <c r="H41" s="982"/>
      <c r="I41" s="982"/>
      <c r="J41" s="982"/>
      <c r="K41" s="982"/>
      <c r="R41" s="951"/>
    </row>
    <row r="42" spans="1:18">
      <c r="A42" s="947" t="s">
        <v>898</v>
      </c>
      <c r="B42" s="979" t="s">
        <v>899</v>
      </c>
      <c r="C42" s="982"/>
      <c r="D42" s="982"/>
      <c r="E42" s="982"/>
      <c r="F42" s="982"/>
      <c r="G42" s="982"/>
      <c r="H42" s="982"/>
      <c r="I42" s="982"/>
      <c r="J42" s="982"/>
      <c r="K42" s="982"/>
      <c r="R42" s="951"/>
    </row>
    <row r="43" spans="1:18" ht="8.1" customHeight="1">
      <c r="B43" s="979"/>
      <c r="C43" s="982"/>
      <c r="D43" s="982"/>
      <c r="E43" s="982"/>
      <c r="F43" s="982"/>
      <c r="G43" s="982"/>
      <c r="H43" s="982"/>
      <c r="I43" s="982"/>
      <c r="J43" s="982"/>
      <c r="K43" s="982"/>
      <c r="R43" s="951"/>
    </row>
    <row r="44" spans="1:18">
      <c r="A44" s="979" t="s">
        <v>900</v>
      </c>
      <c r="B44" s="1159" t="str">
        <f>"The amount of excess amortization entries shown in lines "&amp;A13&amp;" through "&amp;A20&amp;"  are shown as a debit or credit to the ADIT account from which it is being amortized.  The total in line "&amp;A27&amp;" is the offset as charged to the 410/411 account."</f>
        <v>The amount of excess amortization entries shown in lines 1a through 1h  are shown as a debit or credit to the ADIT account from which it is being amortized.  The total in line 3 is the offset as charged to the 410/411 account.</v>
      </c>
      <c r="C44" s="1159"/>
      <c r="D44" s="1159"/>
      <c r="E44" s="1159"/>
      <c r="F44" s="1159"/>
      <c r="G44" s="1159"/>
      <c r="H44" s="1159"/>
      <c r="I44" s="1159"/>
      <c r="J44" s="982"/>
      <c r="R44" s="951"/>
    </row>
    <row r="45" spans="1:18" ht="11.45" customHeight="1">
      <c r="B45" s="1159"/>
      <c r="C45" s="1159"/>
      <c r="D45" s="1159"/>
      <c r="E45" s="1159"/>
      <c r="F45" s="1159"/>
      <c r="G45" s="1159"/>
      <c r="H45" s="1159"/>
      <c r="I45" s="1159"/>
      <c r="J45" s="982"/>
      <c r="R45" s="951"/>
    </row>
    <row r="46" spans="1:18">
      <c r="R46" s="951"/>
    </row>
    <row r="47" spans="1:18">
      <c r="R47" s="951"/>
    </row>
    <row r="48" spans="1:18">
      <c r="R48" s="951"/>
    </row>
    <row r="53" spans="1:11">
      <c r="A53" s="981"/>
      <c r="B53" s="981"/>
      <c r="C53" s="981"/>
      <c r="D53" s="981"/>
      <c r="E53" s="981"/>
      <c r="F53" s="981"/>
      <c r="G53" s="981"/>
      <c r="H53" s="981"/>
      <c r="I53" s="981"/>
      <c r="J53" s="981"/>
      <c r="K53" s="981"/>
    </row>
    <row r="54" spans="1:11">
      <c r="A54" s="981"/>
      <c r="B54" s="981"/>
      <c r="C54" s="981"/>
      <c r="D54" s="981"/>
      <c r="E54" s="981"/>
      <c r="F54" s="981"/>
      <c r="G54" s="981"/>
      <c r="H54" s="981"/>
      <c r="I54" s="981"/>
      <c r="J54" s="981"/>
      <c r="K54" s="981"/>
    </row>
    <row r="55" spans="1:11">
      <c r="D55" s="981"/>
      <c r="E55" s="981"/>
      <c r="F55" s="981"/>
      <c r="G55" s="981"/>
      <c r="H55" s="981"/>
      <c r="I55" s="981"/>
      <c r="J55" s="981"/>
      <c r="K55" s="981"/>
    </row>
    <row r="56" spans="1:11">
      <c r="A56" s="981"/>
      <c r="B56" s="981"/>
      <c r="C56" s="981"/>
      <c r="D56" s="981"/>
      <c r="E56" s="981"/>
      <c r="F56" s="981"/>
      <c r="G56" s="981"/>
      <c r="H56" s="981"/>
      <c r="I56" s="981"/>
      <c r="J56" s="981"/>
      <c r="K56" s="981"/>
    </row>
    <row r="57" spans="1:11">
      <c r="A57" s="981"/>
      <c r="B57" s="981"/>
      <c r="C57" s="981"/>
      <c r="D57" s="981"/>
      <c r="E57" s="981"/>
      <c r="F57" s="981"/>
      <c r="G57" s="981"/>
      <c r="H57" s="981"/>
      <c r="I57" s="981"/>
      <c r="J57" s="981"/>
      <c r="K57" s="981"/>
    </row>
    <row r="58" spans="1:11">
      <c r="A58" s="981"/>
      <c r="B58" s="981"/>
      <c r="C58" s="981"/>
      <c r="D58" s="981"/>
      <c r="E58" s="981"/>
      <c r="F58" s="981"/>
      <c r="G58" s="981"/>
      <c r="H58" s="981"/>
      <c r="I58" s="981"/>
      <c r="J58" s="981"/>
      <c r="K58" s="981"/>
    </row>
    <row r="59" spans="1:11">
      <c r="A59" s="981"/>
      <c r="B59" s="981"/>
      <c r="C59" s="981"/>
      <c r="D59" s="981"/>
      <c r="E59" s="981"/>
      <c r="F59" s="981"/>
      <c r="G59" s="981"/>
      <c r="H59" s="981"/>
      <c r="I59" s="981"/>
      <c r="J59" s="981"/>
      <c r="K59" s="981"/>
    </row>
    <row r="60" spans="1:11">
      <c r="A60" s="981"/>
      <c r="B60" s="981"/>
      <c r="C60" s="981"/>
      <c r="D60" s="981"/>
      <c r="E60" s="981"/>
      <c r="F60" s="981"/>
      <c r="G60" s="981"/>
      <c r="H60" s="981"/>
      <c r="I60" s="981"/>
      <c r="J60" s="981"/>
      <c r="K60" s="981"/>
    </row>
    <row r="61" spans="1:11">
      <c r="A61" s="981"/>
      <c r="B61" s="981"/>
      <c r="C61" s="981"/>
      <c r="D61" s="981"/>
      <c r="E61" s="981"/>
      <c r="F61" s="981"/>
      <c r="G61" s="981"/>
      <c r="H61" s="981"/>
      <c r="I61" s="981"/>
      <c r="J61" s="981"/>
      <c r="K61" s="981"/>
    </row>
    <row r="62" spans="1:11">
      <c r="A62" s="981"/>
      <c r="B62" s="981"/>
      <c r="C62" s="981"/>
      <c r="D62" s="981"/>
      <c r="E62" s="981"/>
      <c r="F62" s="981"/>
      <c r="G62" s="981"/>
      <c r="H62" s="981"/>
      <c r="I62" s="981"/>
      <c r="J62" s="981"/>
      <c r="K62" s="981"/>
    </row>
    <row r="63" spans="1:11">
      <c r="A63" s="981"/>
      <c r="B63" s="981"/>
      <c r="C63" s="981"/>
      <c r="D63" s="981"/>
      <c r="E63" s="981"/>
      <c r="F63" s="981"/>
      <c r="G63" s="981"/>
      <c r="H63" s="981"/>
      <c r="I63" s="981"/>
      <c r="J63" s="981"/>
      <c r="K63" s="981"/>
    </row>
    <row r="70" spans="1:11">
      <c r="B70" s="979"/>
    </row>
    <row r="71" spans="1:11">
      <c r="B71" s="947"/>
    </row>
    <row r="72" spans="1:11">
      <c r="B72" s="947"/>
    </row>
    <row r="73" spans="1:11">
      <c r="B73" s="947"/>
    </row>
    <row r="74" spans="1:11">
      <c r="B74" s="947"/>
    </row>
    <row r="75" spans="1:11">
      <c r="A75" s="985"/>
      <c r="B75" s="981"/>
      <c r="C75" s="981"/>
      <c r="D75" s="981"/>
      <c r="E75" s="981"/>
      <c r="F75" s="981"/>
      <c r="G75" s="981"/>
      <c r="H75" s="981"/>
      <c r="I75" s="981"/>
      <c r="J75" s="981"/>
      <c r="K75" s="981"/>
    </row>
    <row r="76" spans="1:11">
      <c r="A76" s="981"/>
      <c r="B76" s="981"/>
      <c r="C76" s="981"/>
      <c r="D76" s="981"/>
      <c r="E76" s="981"/>
      <c r="F76" s="981"/>
      <c r="G76" s="981"/>
      <c r="H76" s="981"/>
      <c r="I76" s="981"/>
      <c r="J76" s="981"/>
      <c r="K76" s="981"/>
    </row>
    <row r="77" spans="1:11">
      <c r="A77" s="981"/>
      <c r="B77" s="981"/>
      <c r="C77" s="981"/>
      <c r="D77" s="981"/>
      <c r="E77" s="981"/>
      <c r="F77" s="981"/>
      <c r="G77" s="981"/>
      <c r="H77" s="981"/>
      <c r="I77" s="981"/>
      <c r="J77" s="981"/>
      <c r="K77" s="981"/>
    </row>
    <row r="78" spans="1:11">
      <c r="A78" s="981"/>
      <c r="B78" s="981"/>
      <c r="C78" s="981"/>
      <c r="D78" s="981"/>
      <c r="E78" s="981"/>
      <c r="F78" s="981"/>
      <c r="G78" s="981"/>
      <c r="H78" s="981"/>
      <c r="I78" s="981"/>
      <c r="J78" s="981"/>
      <c r="K78" s="981"/>
    </row>
    <row r="79" spans="1:11">
      <c r="A79" s="981"/>
      <c r="B79" s="981"/>
      <c r="C79" s="981"/>
      <c r="D79" s="986"/>
      <c r="E79" s="986"/>
      <c r="F79" s="986"/>
      <c r="G79" s="981"/>
      <c r="H79" s="981"/>
      <c r="I79" s="981"/>
      <c r="J79" s="981"/>
      <c r="K79" s="981"/>
    </row>
    <row r="80" spans="1:11">
      <c r="A80" s="981"/>
      <c r="B80" s="981"/>
      <c r="C80" s="981"/>
      <c r="D80" s="983"/>
      <c r="E80" s="983"/>
      <c r="F80" s="983"/>
      <c r="G80" s="981"/>
      <c r="H80" s="981"/>
      <c r="I80" s="981"/>
      <c r="J80" s="981"/>
      <c r="K80" s="981"/>
    </row>
    <row r="81" spans="1:11">
      <c r="A81" s="981"/>
      <c r="B81" s="981"/>
      <c r="C81" s="981"/>
      <c r="D81" s="986"/>
      <c r="E81" s="986"/>
      <c r="F81" s="986"/>
      <c r="G81" s="981"/>
      <c r="H81" s="981"/>
      <c r="I81" s="981"/>
      <c r="J81" s="981"/>
      <c r="K81" s="981"/>
    </row>
    <row r="82" spans="1:11">
      <c r="A82" s="981"/>
      <c r="B82" s="981"/>
      <c r="C82" s="981"/>
      <c r="D82" s="981"/>
      <c r="E82" s="981"/>
      <c r="F82" s="981"/>
      <c r="G82" s="981"/>
      <c r="H82" s="981"/>
      <c r="I82" s="981"/>
      <c r="J82" s="981"/>
      <c r="K82" s="981"/>
    </row>
    <row r="83" spans="1:11">
      <c r="A83" s="981"/>
      <c r="B83" s="981"/>
      <c r="C83" s="981"/>
      <c r="D83" s="981"/>
      <c r="E83" s="981"/>
      <c r="F83" s="981"/>
      <c r="G83" s="981"/>
      <c r="H83" s="981"/>
      <c r="I83" s="981"/>
      <c r="J83" s="981"/>
      <c r="K83" s="981"/>
    </row>
    <row r="84" spans="1:11">
      <c r="A84" s="981"/>
      <c r="B84" s="981"/>
      <c r="C84" s="981"/>
      <c r="D84" s="981"/>
      <c r="E84" s="981"/>
      <c r="F84" s="981"/>
      <c r="G84" s="981"/>
      <c r="H84" s="981"/>
      <c r="I84" s="981"/>
      <c r="J84" s="981"/>
      <c r="K84" s="981"/>
    </row>
    <row r="85" spans="1:11">
      <c r="A85" s="981"/>
      <c r="C85" s="981"/>
      <c r="D85" s="981"/>
      <c r="E85" s="981"/>
      <c r="F85" s="981"/>
      <c r="G85" s="981"/>
      <c r="H85" s="981"/>
      <c r="I85" s="981"/>
      <c r="J85" s="981"/>
      <c r="K85" s="981"/>
    </row>
    <row r="86" spans="1:11">
      <c r="A86" s="981"/>
      <c r="B86" s="981"/>
      <c r="C86" s="981"/>
      <c r="D86" s="981"/>
      <c r="E86" s="981"/>
      <c r="F86" s="981"/>
      <c r="G86" s="981"/>
      <c r="H86" s="981"/>
      <c r="I86" s="981"/>
      <c r="J86" s="981"/>
      <c r="K86" s="981"/>
    </row>
    <row r="87" spans="1:11">
      <c r="A87" s="981"/>
      <c r="B87" s="981"/>
      <c r="C87" s="981"/>
      <c r="D87" s="981"/>
      <c r="E87" s="981"/>
      <c r="F87" s="981"/>
      <c r="G87" s="981"/>
      <c r="H87" s="981"/>
      <c r="I87" s="981"/>
      <c r="J87" s="981"/>
      <c r="K87" s="981"/>
    </row>
  </sheetData>
  <mergeCells count="10">
    <mergeCell ref="R16:R17"/>
    <mergeCell ref="B27:C27"/>
    <mergeCell ref="B30:J35"/>
    <mergeCell ref="B39:J40"/>
    <mergeCell ref="B44:I45"/>
    <mergeCell ref="I9:J9"/>
    <mergeCell ref="K9:M9"/>
    <mergeCell ref="N9:O9"/>
    <mergeCell ref="P9:Q9"/>
    <mergeCell ref="P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B21D-4A5C-49C7-8EAA-8FC271739219}">
  <dimension ref="A1:O42"/>
  <sheetViews>
    <sheetView workbookViewId="0">
      <selection activeCell="E14" sqref="E14"/>
    </sheetView>
  </sheetViews>
  <sheetFormatPr defaultRowHeight="12.75"/>
  <cols>
    <col min="1" max="4" width="9.140625" style="1031"/>
    <col min="5" max="5" width="30.28515625" style="1031" bestFit="1" customWidth="1"/>
    <col min="6" max="6" width="13" style="1031" customWidth="1"/>
    <col min="7" max="7" width="9.140625" style="1031"/>
    <col min="8" max="8" width="15.28515625" style="1031" customWidth="1"/>
    <col min="9" max="9" width="2.42578125" style="1031" customWidth="1"/>
    <col min="10" max="10" width="14.7109375" style="1031" customWidth="1"/>
    <col min="11" max="11" width="2.5703125" style="1031" customWidth="1"/>
    <col min="12" max="12" width="18.42578125" style="1031" customWidth="1"/>
    <col min="13" max="13" width="13.42578125" style="1031" customWidth="1"/>
    <col min="14" max="14" width="4.42578125" style="1031" customWidth="1"/>
    <col min="15" max="15" width="15.28515625" style="1031" customWidth="1"/>
    <col min="16" max="16384" width="9.140625" style="1031"/>
  </cols>
  <sheetData>
    <row r="1" spans="1:15" ht="15">
      <c r="A1" s="1030" t="s">
        <v>934</v>
      </c>
      <c r="L1" s="1032"/>
      <c r="M1" s="1032"/>
      <c r="N1" s="1033"/>
      <c r="O1" s="1034" t="s">
        <v>935</v>
      </c>
    </row>
    <row r="2" spans="1:15">
      <c r="A2" s="1030" t="s">
        <v>936</v>
      </c>
      <c r="N2" s="1033"/>
      <c r="O2" s="1035" t="s">
        <v>937</v>
      </c>
    </row>
    <row r="3" spans="1:15">
      <c r="A3" s="1030" t="s">
        <v>938</v>
      </c>
      <c r="N3" s="1033"/>
      <c r="O3" s="1035" t="s">
        <v>939</v>
      </c>
    </row>
    <row r="4" spans="1:15">
      <c r="A4" s="1030" t="s">
        <v>940</v>
      </c>
      <c r="N4" s="1033"/>
      <c r="O4" s="1034" t="s">
        <v>941</v>
      </c>
    </row>
    <row r="5" spans="1:15">
      <c r="A5" s="1030" t="s">
        <v>942</v>
      </c>
      <c r="N5" s="1033"/>
      <c r="O5" s="1036"/>
    </row>
    <row r="6" spans="1:15">
      <c r="A6" s="1030" t="s">
        <v>835</v>
      </c>
      <c r="N6" s="1033"/>
    </row>
    <row r="7" spans="1:15">
      <c r="A7" s="1161" t="s">
        <v>943</v>
      </c>
      <c r="B7" s="1161"/>
      <c r="C7" s="1161"/>
      <c r="D7" s="1161"/>
      <c r="E7" s="1161"/>
      <c r="F7" s="1161"/>
      <c r="G7" s="1161"/>
      <c r="H7" s="1161"/>
      <c r="I7" s="1161"/>
      <c r="J7" s="1161"/>
      <c r="K7" s="1161"/>
      <c r="L7" s="1161"/>
      <c r="M7" s="1037"/>
      <c r="N7" s="1033"/>
    </row>
    <row r="8" spans="1:15">
      <c r="A8" s="1030"/>
      <c r="N8" s="1033"/>
    </row>
    <row r="9" spans="1:15">
      <c r="A9" s="1038" t="s">
        <v>446</v>
      </c>
      <c r="B9" s="1039" t="s">
        <v>447</v>
      </c>
      <c r="C9" s="1039"/>
      <c r="D9" s="1039" t="s">
        <v>448</v>
      </c>
      <c r="E9" s="1039" t="s">
        <v>449</v>
      </c>
      <c r="F9" s="1039" t="s">
        <v>450</v>
      </c>
      <c r="G9" s="1039"/>
      <c r="H9" s="1039" t="s">
        <v>944</v>
      </c>
      <c r="I9" s="1039"/>
      <c r="J9" s="1039" t="s">
        <v>452</v>
      </c>
      <c r="K9" s="1039"/>
      <c r="L9" s="1039" t="s">
        <v>945</v>
      </c>
      <c r="M9" s="1039" t="s">
        <v>454</v>
      </c>
      <c r="N9" s="1033"/>
      <c r="O9" s="1039" t="s">
        <v>946</v>
      </c>
    </row>
    <row r="10" spans="1:15">
      <c r="A10" s="1040"/>
      <c r="F10" s="1041"/>
      <c r="G10" s="1041"/>
      <c r="H10" s="1041"/>
      <c r="N10" s="1033"/>
    </row>
    <row r="11" spans="1:15" ht="63.75">
      <c r="A11" s="1040" t="s">
        <v>947</v>
      </c>
      <c r="B11" s="1031" t="s">
        <v>948</v>
      </c>
      <c r="D11" s="1042" t="s">
        <v>949</v>
      </c>
      <c r="E11" s="1039" t="s">
        <v>853</v>
      </c>
      <c r="F11" s="1042" t="s">
        <v>950</v>
      </c>
      <c r="G11" s="1042"/>
      <c r="H11" s="1042" t="s">
        <v>951</v>
      </c>
      <c r="J11" s="1042" t="s">
        <v>952</v>
      </c>
      <c r="L11" s="1042" t="s">
        <v>953</v>
      </c>
      <c r="M11" s="1042" t="s">
        <v>954</v>
      </c>
      <c r="N11" s="1033"/>
      <c r="O11" s="1042" t="s">
        <v>955</v>
      </c>
    </row>
    <row r="12" spans="1:15">
      <c r="A12" s="1030"/>
      <c r="D12" s="1033"/>
      <c r="E12" s="1033"/>
      <c r="F12" s="1033"/>
      <c r="G12" s="1033"/>
      <c r="H12" s="1033"/>
      <c r="I12" s="1033"/>
      <c r="J12" s="1033"/>
      <c r="K12" s="1033"/>
      <c r="L12" s="1033"/>
      <c r="M12" s="1033"/>
      <c r="N12" s="1033"/>
    </row>
    <row r="13" spans="1:15">
      <c r="A13" s="1043">
        <v>1</v>
      </c>
      <c r="B13" s="1044" t="s">
        <v>956</v>
      </c>
      <c r="D13" s="1033">
        <v>30979</v>
      </c>
      <c r="E13" s="1033" t="s">
        <v>957</v>
      </c>
      <c r="K13" s="1033"/>
      <c r="L13" s="1033"/>
      <c r="M13" s="1033"/>
      <c r="N13" s="1033"/>
    </row>
    <row r="14" spans="1:15">
      <c r="A14" s="1043">
        <f>+A13+1</f>
        <v>2</v>
      </c>
      <c r="B14" s="1044"/>
      <c r="D14" s="1045">
        <v>16823.240000000002</v>
      </c>
      <c r="E14" s="1033" t="s">
        <v>958</v>
      </c>
      <c r="F14" s="1046"/>
      <c r="G14" s="1047"/>
      <c r="H14" s="1046"/>
      <c r="I14" s="1046"/>
      <c r="J14" s="1046"/>
      <c r="K14" s="1033"/>
      <c r="L14" s="1033"/>
      <c r="M14" s="1033"/>
      <c r="N14" s="1033"/>
    </row>
    <row r="15" spans="1:15">
      <c r="A15" s="1043">
        <f>+A14+1</f>
        <v>3</v>
      </c>
      <c r="B15" s="1044" t="s">
        <v>959</v>
      </c>
      <c r="D15" s="1033">
        <f>+D13-D14</f>
        <v>14155.759999999998</v>
      </c>
      <c r="F15" s="1046">
        <v>4955.3</v>
      </c>
      <c r="G15" s="1047"/>
      <c r="H15" s="1048">
        <f>+F15/D15</f>
        <v>0.35005538381549284</v>
      </c>
      <c r="J15" s="1046">
        <f>-F15</f>
        <v>-4955.3</v>
      </c>
      <c r="K15" s="1046"/>
      <c r="L15" s="1046">
        <f>+F15+J15</f>
        <v>0</v>
      </c>
      <c r="M15" s="1046" t="s">
        <v>868</v>
      </c>
      <c r="N15" s="1033"/>
      <c r="O15" s="1033">
        <f>+D15-L15</f>
        <v>14155.759999999998</v>
      </c>
    </row>
    <row r="16" spans="1:15">
      <c r="A16" s="1030"/>
      <c r="B16" s="1044"/>
      <c r="D16" s="1033"/>
      <c r="E16" s="1033"/>
      <c r="F16" s="1049"/>
      <c r="G16" s="1047"/>
      <c r="J16" s="1046"/>
      <c r="K16" s="1046"/>
      <c r="L16" s="1046"/>
      <c r="M16" s="1046"/>
      <c r="N16" s="1033"/>
      <c r="O16" s="1033"/>
    </row>
    <row r="17" spans="1:15">
      <c r="A17" s="1043">
        <f>+A15+1</f>
        <v>4</v>
      </c>
      <c r="B17" s="1044" t="s">
        <v>960</v>
      </c>
      <c r="D17" s="1033">
        <v>-24138</v>
      </c>
      <c r="E17" s="1033" t="s">
        <v>961</v>
      </c>
      <c r="F17" s="1046">
        <v>-9654.89</v>
      </c>
      <c r="G17" s="1049"/>
      <c r="H17" s="1048">
        <f>+F17/D17</f>
        <v>0.39998715717955091</v>
      </c>
      <c r="J17" s="1046">
        <v>0</v>
      </c>
      <c r="K17" s="1046"/>
      <c r="L17" s="1046">
        <f>+F17+J17</f>
        <v>-9654.89</v>
      </c>
      <c r="M17" s="1046" t="s">
        <v>864</v>
      </c>
      <c r="N17" s="1033"/>
      <c r="O17" s="1033">
        <f>+D17-L17</f>
        <v>-14483.11</v>
      </c>
    </row>
    <row r="18" spans="1:15">
      <c r="A18" s="1043"/>
      <c r="B18" s="1044"/>
      <c r="D18" s="1033"/>
      <c r="E18" s="1033"/>
      <c r="F18" s="1046"/>
      <c r="G18" s="1046"/>
      <c r="J18" s="1046"/>
      <c r="K18" s="1046"/>
      <c r="L18" s="1046"/>
      <c r="M18" s="1046"/>
      <c r="N18" s="1033"/>
      <c r="O18" s="1033"/>
    </row>
    <row r="19" spans="1:15">
      <c r="A19" s="1043">
        <f>+A17+1</f>
        <v>5</v>
      </c>
      <c r="B19" s="1044" t="s">
        <v>962</v>
      </c>
      <c r="D19" s="1033">
        <v>-23866</v>
      </c>
      <c r="E19" s="1033" t="s">
        <v>963</v>
      </c>
      <c r="N19" s="1033"/>
      <c r="O19" s="1033"/>
    </row>
    <row r="20" spans="1:15">
      <c r="A20" s="1043">
        <f>+A19+1</f>
        <v>6</v>
      </c>
      <c r="B20" s="1044"/>
      <c r="D20" s="1045">
        <v>-17978</v>
      </c>
      <c r="E20" s="1033" t="s">
        <v>964</v>
      </c>
      <c r="F20" s="1046"/>
      <c r="G20" s="1050"/>
      <c r="H20" s="1048"/>
      <c r="J20" s="1046"/>
      <c r="K20" s="1046"/>
      <c r="L20" s="1046"/>
      <c r="M20" s="1046"/>
      <c r="N20" s="1033"/>
      <c r="O20" s="1033"/>
    </row>
    <row r="21" spans="1:15">
      <c r="A21" s="1043">
        <f>+A20+1</f>
        <v>7</v>
      </c>
      <c r="B21" s="1044" t="s">
        <v>965</v>
      </c>
      <c r="D21" s="1033">
        <f>+D19-D20</f>
        <v>-5888</v>
      </c>
      <c r="E21" s="1033"/>
      <c r="F21" s="1046">
        <v>-2355.25</v>
      </c>
      <c r="G21" s="1050"/>
      <c r="H21" s="1048">
        <f>+F21/D21</f>
        <v>0.40000849184782611</v>
      </c>
      <c r="J21" s="1046">
        <f>-J15-J17</f>
        <v>4955.3</v>
      </c>
      <c r="K21" s="1046"/>
      <c r="L21" s="1046">
        <f>+F21+J21</f>
        <v>2600.0500000000002</v>
      </c>
      <c r="M21" s="1046" t="s">
        <v>868</v>
      </c>
      <c r="N21" s="1033"/>
      <c r="O21" s="1033">
        <f>+D21-L21</f>
        <v>-8488.0499999999993</v>
      </c>
    </row>
    <row r="22" spans="1:15">
      <c r="A22" s="1030"/>
      <c r="D22" s="1033"/>
      <c r="E22" s="1033"/>
      <c r="F22" s="1046"/>
      <c r="G22" s="1051"/>
      <c r="J22" s="1046"/>
      <c r="K22" s="1046"/>
      <c r="L22" s="1046"/>
      <c r="M22" s="1046"/>
      <c r="N22" s="1033"/>
    </row>
    <row r="23" spans="1:15">
      <c r="A23" s="1043">
        <f>+A21+1</f>
        <v>8</v>
      </c>
      <c r="B23" s="1031" t="s">
        <v>418</v>
      </c>
      <c r="D23" s="1052">
        <f>+D15+D17+D21</f>
        <v>-15870.240000000002</v>
      </c>
      <c r="E23" s="1033"/>
      <c r="F23" s="1052">
        <f>SUM(F14:F21)</f>
        <v>-7054.8399999999992</v>
      </c>
      <c r="J23" s="1052">
        <f>+J15+J17+J21</f>
        <v>0</v>
      </c>
      <c r="K23" s="1033"/>
      <c r="L23" s="1052">
        <f>+L15+L17+L21</f>
        <v>-7054.8399999999992</v>
      </c>
      <c r="M23" s="1053"/>
      <c r="N23" s="1033"/>
      <c r="O23" s="1052">
        <f>+O15+O17+O21</f>
        <v>-8815.4000000000015</v>
      </c>
    </row>
    <row r="24" spans="1:15">
      <c r="A24" s="1030"/>
      <c r="D24" s="1033"/>
      <c r="E24" s="1054"/>
      <c r="F24" s="1048"/>
      <c r="G24" s="1033"/>
      <c r="H24" s="1033"/>
      <c r="I24" s="1033"/>
      <c r="J24" s="1033"/>
      <c r="K24" s="1033"/>
      <c r="L24" s="1033"/>
      <c r="M24" s="1033"/>
      <c r="N24" s="1033"/>
    </row>
    <row r="25" spans="1:15">
      <c r="A25" s="1030"/>
      <c r="D25" s="1033"/>
      <c r="E25" s="1054"/>
      <c r="F25" s="1048"/>
      <c r="G25" s="1033"/>
      <c r="H25" s="1033"/>
      <c r="I25" s="1033"/>
      <c r="J25" s="1033"/>
      <c r="K25" s="1033"/>
      <c r="L25" s="1033"/>
      <c r="M25" s="1033"/>
      <c r="N25" s="1033"/>
    </row>
    <row r="26" spans="1:15">
      <c r="A26" s="1162" t="s">
        <v>966</v>
      </c>
      <c r="B26" s="1162"/>
      <c r="C26" s="1162"/>
      <c r="D26" s="1162"/>
      <c r="E26" s="1162"/>
      <c r="F26" s="1162"/>
      <c r="G26" s="1162"/>
      <c r="H26" s="1162"/>
      <c r="I26" s="1162"/>
      <c r="J26" s="1055"/>
      <c r="K26" s="1055"/>
      <c r="L26" s="1033"/>
      <c r="M26" s="1033"/>
      <c r="N26" s="1033"/>
    </row>
    <row r="27" spans="1:15">
      <c r="A27" s="1162"/>
      <c r="B27" s="1162"/>
      <c r="C27" s="1162"/>
      <c r="D27" s="1162"/>
      <c r="E27" s="1162"/>
      <c r="F27" s="1162"/>
      <c r="G27" s="1162"/>
      <c r="H27" s="1162"/>
      <c r="I27" s="1162"/>
      <c r="J27" s="1055"/>
      <c r="K27" s="1055"/>
      <c r="L27" s="1033"/>
      <c r="M27" s="1033"/>
      <c r="N27" s="1033"/>
    </row>
    <row r="28" spans="1:15">
      <c r="A28" s="1162"/>
      <c r="B28" s="1162"/>
      <c r="C28" s="1162"/>
      <c r="D28" s="1162"/>
      <c r="E28" s="1162"/>
      <c r="F28" s="1162"/>
      <c r="G28" s="1162"/>
      <c r="H28" s="1162"/>
      <c r="I28" s="1162"/>
      <c r="J28" s="1055"/>
      <c r="K28" s="1055"/>
      <c r="L28" s="1033"/>
      <c r="M28" s="1033"/>
      <c r="N28" s="1033"/>
    </row>
    <row r="29" spans="1:15">
      <c r="A29" s="1056"/>
      <c r="B29" s="1056"/>
      <c r="C29" s="1056"/>
      <c r="D29" s="1056"/>
      <c r="E29" s="1056"/>
      <c r="F29" s="1056"/>
      <c r="G29" s="1056"/>
      <c r="H29" s="1056"/>
      <c r="I29" s="1056"/>
      <c r="J29" s="1055"/>
      <c r="K29" s="1055"/>
      <c r="L29" s="1033"/>
      <c r="M29" s="1033"/>
      <c r="N29" s="1033"/>
    </row>
    <row r="30" spans="1:15" ht="12.75" customHeight="1">
      <c r="A30" s="1057" t="s">
        <v>967</v>
      </c>
      <c r="B30" s="1163" t="s">
        <v>968</v>
      </c>
      <c r="C30" s="1163"/>
      <c r="D30" s="1163"/>
      <c r="E30" s="1163"/>
      <c r="F30" s="1163"/>
      <c r="G30" s="1163"/>
      <c r="H30" s="1163"/>
      <c r="I30" s="1163"/>
      <c r="J30" s="1163"/>
      <c r="K30" s="1163"/>
      <c r="L30" s="1163"/>
      <c r="M30" s="1163"/>
      <c r="N30" s="1163"/>
      <c r="O30" s="1163"/>
    </row>
    <row r="31" spans="1:15">
      <c r="A31" s="1057"/>
      <c r="B31" s="1163"/>
      <c r="C31" s="1163"/>
      <c r="D31" s="1163"/>
      <c r="E31" s="1163"/>
      <c r="F31" s="1163"/>
      <c r="G31" s="1163"/>
      <c r="H31" s="1163"/>
      <c r="I31" s="1163"/>
      <c r="J31" s="1163"/>
      <c r="K31" s="1163"/>
      <c r="L31" s="1163"/>
      <c r="M31" s="1163"/>
      <c r="N31" s="1163"/>
      <c r="O31" s="1163"/>
    </row>
    <row r="32" spans="1:15">
      <c r="A32" s="1057"/>
      <c r="B32" s="1163"/>
      <c r="C32" s="1163"/>
      <c r="D32" s="1163"/>
      <c r="E32" s="1163"/>
      <c r="F32" s="1163"/>
      <c r="G32" s="1163"/>
      <c r="H32" s="1163"/>
      <c r="I32" s="1163"/>
      <c r="J32" s="1163"/>
      <c r="K32" s="1163"/>
      <c r="L32" s="1163"/>
      <c r="M32" s="1163"/>
      <c r="N32" s="1163"/>
      <c r="O32" s="1163"/>
    </row>
    <row r="33" spans="1:15">
      <c r="A33" s="1058"/>
      <c r="B33" s="1059"/>
      <c r="C33" s="1059"/>
      <c r="D33" s="1059"/>
      <c r="E33" s="1059"/>
      <c r="F33" s="1059"/>
      <c r="G33" s="1059"/>
      <c r="H33" s="1059"/>
      <c r="I33" s="1059"/>
      <c r="J33" s="1059"/>
      <c r="K33" s="1059"/>
      <c r="N33" s="1033"/>
    </row>
    <row r="34" spans="1:15" ht="12.75" customHeight="1">
      <c r="A34" s="1040" t="s">
        <v>969</v>
      </c>
      <c r="B34" s="1164" t="s">
        <v>970</v>
      </c>
      <c r="C34" s="1164"/>
      <c r="D34" s="1164"/>
      <c r="E34" s="1164"/>
      <c r="F34" s="1164"/>
      <c r="G34" s="1164"/>
      <c r="H34" s="1164"/>
      <c r="I34" s="1164"/>
      <c r="J34" s="1164"/>
      <c r="K34" s="1164"/>
      <c r="L34" s="1164"/>
      <c r="M34" s="1164"/>
      <c r="N34" s="1033"/>
    </row>
    <row r="35" spans="1:15">
      <c r="A35" s="1040"/>
      <c r="B35" s="1164"/>
      <c r="C35" s="1164"/>
      <c r="D35" s="1164"/>
      <c r="E35" s="1164"/>
      <c r="F35" s="1164"/>
      <c r="G35" s="1164"/>
      <c r="H35" s="1164"/>
      <c r="I35" s="1164"/>
      <c r="J35" s="1164"/>
      <c r="K35" s="1164"/>
      <c r="L35" s="1164"/>
      <c r="M35" s="1164"/>
      <c r="N35" s="1033"/>
    </row>
    <row r="36" spans="1:15">
      <c r="A36" s="1040"/>
      <c r="N36" s="1033"/>
    </row>
    <row r="37" spans="1:15" ht="12.75" customHeight="1">
      <c r="A37" s="1040" t="s">
        <v>971</v>
      </c>
      <c r="B37" s="1164" t="s">
        <v>972</v>
      </c>
      <c r="C37" s="1164"/>
      <c r="D37" s="1164"/>
      <c r="E37" s="1164"/>
      <c r="F37" s="1164"/>
      <c r="G37" s="1164"/>
      <c r="H37" s="1164"/>
      <c r="I37" s="1164"/>
      <c r="J37" s="1164"/>
      <c r="K37" s="1164"/>
      <c r="N37" s="1033"/>
    </row>
    <row r="38" spans="1:15">
      <c r="A38" s="1040"/>
      <c r="B38" s="1164"/>
      <c r="C38" s="1164"/>
      <c r="D38" s="1164"/>
      <c r="E38" s="1164"/>
      <c r="F38" s="1164"/>
      <c r="G38" s="1164"/>
      <c r="H38" s="1164"/>
      <c r="I38" s="1164"/>
      <c r="J38" s="1164"/>
      <c r="K38" s="1164"/>
      <c r="N38" s="1033"/>
    </row>
    <row r="40" spans="1:15" ht="12.75" customHeight="1">
      <c r="A40" s="1040" t="s">
        <v>973</v>
      </c>
      <c r="B40" s="1160" t="s">
        <v>974</v>
      </c>
      <c r="C40" s="1160"/>
      <c r="D40" s="1160"/>
      <c r="E40" s="1160"/>
      <c r="F40" s="1160"/>
      <c r="G40" s="1160"/>
      <c r="H40" s="1160"/>
      <c r="I40" s="1160"/>
      <c r="J40" s="1160"/>
      <c r="K40" s="1160"/>
      <c r="L40" s="1160"/>
      <c r="M40" s="1160"/>
      <c r="N40" s="1160"/>
      <c r="O40" s="1160"/>
    </row>
    <row r="41" spans="1:15">
      <c r="A41" s="1040"/>
      <c r="B41" s="1040"/>
      <c r="C41" s="1040"/>
      <c r="D41" s="1040"/>
      <c r="E41" s="1040"/>
      <c r="F41" s="1040"/>
      <c r="G41" s="1040"/>
      <c r="H41" s="1040"/>
    </row>
    <row r="42" spans="1:15">
      <c r="O42" s="1033"/>
    </row>
  </sheetData>
  <mergeCells count="6">
    <mergeCell ref="B40:O40"/>
    <mergeCell ref="A7:L7"/>
    <mergeCell ref="A26:I28"/>
    <mergeCell ref="B30:O32"/>
    <mergeCell ref="B34:M35"/>
    <mergeCell ref="B37:K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07"/>
  <sheetViews>
    <sheetView view="pageBreakPreview" topLeftCell="A5" zoomScale="85" zoomScaleNormal="75" zoomScaleSheetLayoutView="85" workbookViewId="0">
      <selection activeCell="E14" sqref="E14"/>
    </sheetView>
  </sheetViews>
  <sheetFormatPr defaultColWidth="11.42578125" defaultRowHeight="12.75"/>
  <cols>
    <col min="1" max="1" width="8.140625" style="286" customWidth="1"/>
    <col min="2" max="2" width="12.140625" style="285" customWidth="1"/>
    <col min="3" max="3" width="41.7109375" style="285" customWidth="1"/>
    <col min="4" max="4" width="30" style="285" customWidth="1"/>
    <col min="5" max="5" width="22.140625" style="285" customWidth="1"/>
    <col min="6" max="6" width="1" style="285" customWidth="1"/>
    <col min="7" max="7" width="20.85546875" style="285" customWidth="1"/>
    <col min="8" max="8" width="1" style="285" customWidth="1"/>
    <col min="9" max="9" width="19.140625" style="285" customWidth="1"/>
    <col min="10" max="10" width="16.7109375" style="285" customWidth="1"/>
    <col min="11" max="11" width="15.28515625" style="285" customWidth="1"/>
    <col min="12" max="12" width="34" style="285" customWidth="1"/>
    <col min="13" max="13" width="21.28515625" style="285" customWidth="1"/>
    <col min="14" max="14" width="13.42578125" style="285" customWidth="1"/>
    <col min="15" max="15" width="13.7109375" style="285" customWidth="1"/>
    <col min="16" max="16384" width="11.42578125" style="285"/>
  </cols>
  <sheetData>
    <row r="1" spans="1:15" ht="15.75">
      <c r="A1" s="712" t="s">
        <v>414</v>
      </c>
    </row>
    <row r="2" spans="1:15" ht="15.75">
      <c r="A2" s="712" t="s">
        <v>414</v>
      </c>
    </row>
    <row r="3" spans="1:15"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139" t="str">
        <f>TCOS!$F$5</f>
        <v>AEPTCo subsidiaries in PJM</v>
      </c>
      <c r="G3" s="1139" t="str">
        <f>TCOS!$F$5</f>
        <v>AEPTCo subsidiaries in PJM</v>
      </c>
      <c r="H3" s="1139" t="str">
        <f>TCOS!$F$5</f>
        <v>AEPTCo subsidiaries in PJM</v>
      </c>
      <c r="I3" s="1139" t="str">
        <f>TCOS!$F$5</f>
        <v>AEPTCo subsidiaries in PJM</v>
      </c>
      <c r="J3" s="1139" t="str">
        <f>TCOS!$F$5</f>
        <v>AEPTCo subsidiaries in PJM</v>
      </c>
      <c r="K3" s="1139" t="str">
        <f>TCOS!$F$5</f>
        <v>AEPTCo subsidiaries in PJM</v>
      </c>
      <c r="L3" s="1139" t="str">
        <f>TCOS!$F$5</f>
        <v>AEPTCo subsidiaries in PJM</v>
      </c>
      <c r="M3" s="17"/>
      <c r="N3" s="17"/>
      <c r="O3" s="17"/>
    </row>
    <row r="4" spans="1:15" ht="15">
      <c r="A4" s="1140" t="str">
        <f>"Cost of Service Formula Rate Using Actual/Projected FF1 Balances"</f>
        <v>Cost of Service Formula Rate Using Actual/Projected FF1 Balances</v>
      </c>
      <c r="B4" s="1140"/>
      <c r="C4" s="1140"/>
      <c r="D4" s="1140"/>
      <c r="E4" s="1140"/>
      <c r="F4" s="1140"/>
      <c r="G4" s="1140"/>
      <c r="H4" s="1140"/>
      <c r="I4" s="1140"/>
      <c r="J4" s="1140"/>
      <c r="K4" s="1140"/>
      <c r="L4" s="1140"/>
      <c r="M4" s="45"/>
      <c r="N4" s="45"/>
      <c r="O4" s="45"/>
    </row>
    <row r="5" spans="1:15" ht="15">
      <c r="A5" s="1140" t="s">
        <v>291</v>
      </c>
      <c r="B5" s="1140"/>
      <c r="C5" s="1140"/>
      <c r="D5" s="1140"/>
      <c r="E5" s="1140"/>
      <c r="F5" s="1140"/>
      <c r="G5" s="1140"/>
      <c r="H5" s="1140"/>
      <c r="I5" s="1140"/>
      <c r="J5" s="1140"/>
      <c r="K5" s="1140"/>
      <c r="L5" s="1140"/>
      <c r="M5" s="44"/>
      <c r="N5" s="44"/>
      <c r="O5" s="44"/>
    </row>
    <row r="6" spans="1:15" ht="15">
      <c r="A6" s="1151" t="str">
        <f>TCOS!F9</f>
        <v>AEP Indiana Michigan Transmission Company</v>
      </c>
      <c r="B6" s="1151"/>
      <c r="C6" s="1151"/>
      <c r="D6" s="1151"/>
      <c r="E6" s="1151"/>
      <c r="F6" s="1151"/>
      <c r="G6" s="1151"/>
      <c r="H6" s="1151"/>
      <c r="I6" s="1151"/>
      <c r="J6" s="1151"/>
      <c r="K6" s="1151"/>
      <c r="L6" s="1151"/>
      <c r="M6" s="2"/>
      <c r="N6" s="2"/>
      <c r="O6" s="2"/>
    </row>
    <row r="7" spans="1:15" ht="15">
      <c r="A7" s="2"/>
      <c r="B7" s="2"/>
      <c r="C7" s="2"/>
      <c r="D7" s="2"/>
      <c r="E7" s="2"/>
      <c r="F7" s="2"/>
      <c r="G7" s="2"/>
      <c r="H7"/>
    </row>
    <row r="8" spans="1:15" ht="12.75" customHeight="1">
      <c r="A8" s="296"/>
      <c r="B8" s="296" t="s">
        <v>460</v>
      </c>
      <c r="C8" s="296" t="s">
        <v>461</v>
      </c>
      <c r="D8" s="296" t="s">
        <v>331</v>
      </c>
      <c r="E8" s="296" t="s">
        <v>463</v>
      </c>
      <c r="F8" s="296"/>
      <c r="G8" s="296" t="s">
        <v>383</v>
      </c>
      <c r="H8" s="296"/>
      <c r="I8" s="296" t="s">
        <v>384</v>
      </c>
      <c r="J8" s="296" t="s">
        <v>385</v>
      </c>
      <c r="K8" s="296" t="s">
        <v>390</v>
      </c>
      <c r="L8" s="296" t="s">
        <v>296</v>
      </c>
      <c r="M8" s="296"/>
      <c r="N8" s="296"/>
      <c r="O8" s="296"/>
    </row>
    <row r="9" spans="1:15">
      <c r="A9" s="294"/>
    </row>
    <row r="10" spans="1:15" ht="18">
      <c r="A10" s="289"/>
      <c r="B10" s="1167" t="s">
        <v>497</v>
      </c>
      <c r="C10" s="1167"/>
      <c r="D10" s="1167"/>
      <c r="E10" s="1167"/>
      <c r="F10" s="1167"/>
      <c r="G10" s="1167"/>
      <c r="H10" s="1167"/>
      <c r="I10" s="1167"/>
      <c r="J10" s="1167"/>
      <c r="K10" s="1167"/>
    </row>
    <row r="11" spans="1:15">
      <c r="A11" s="289"/>
      <c r="I11"/>
      <c r="J11"/>
    </row>
    <row r="12" spans="1:15" ht="12.75" customHeight="1">
      <c r="A12" s="287" t="s">
        <v>467</v>
      </c>
      <c r="B12" s="289"/>
      <c r="C12" s="297"/>
      <c r="D12" s="298"/>
      <c r="E12" s="1168" t="str">
        <f>"Balance @ December 31, "&amp;TCOS!L4&amp;""</f>
        <v>Balance @ December 31, 2026</v>
      </c>
      <c r="F12" s="298"/>
      <c r="G12" s="1168" t="str">
        <f>"Balance @ December 31, "&amp;TCOS!L4-1&amp;""</f>
        <v>Balance @ December 31, 2025</v>
      </c>
      <c r="H12" s="299"/>
      <c r="I12" s="1170" t="str">
        <f>"Average Balance for "&amp;TCOS!L4&amp;""</f>
        <v>Average Balance for 2026</v>
      </c>
      <c r="J12" s="3"/>
      <c r="L12" s="296"/>
    </row>
    <row r="13" spans="1:15">
      <c r="A13" s="287" t="s">
        <v>405</v>
      </c>
      <c r="B13" s="286"/>
      <c r="C13" s="289"/>
      <c r="D13" s="300" t="s">
        <v>496</v>
      </c>
      <c r="E13" s="1169"/>
      <c r="F13" s="301"/>
      <c r="G13" s="1169"/>
      <c r="H13" s="302"/>
      <c r="I13" s="1169"/>
      <c r="J13" s="3"/>
      <c r="K13" s="303"/>
      <c r="L13" s="304"/>
      <c r="M13" s="288"/>
      <c r="N13" s="288"/>
    </row>
    <row r="14" spans="1:15">
      <c r="B14" s="286"/>
      <c r="C14" s="289"/>
      <c r="D14" s="305"/>
      <c r="E14" s="293"/>
      <c r="F14" s="293"/>
      <c r="G14" s="306"/>
      <c r="H14" s="292"/>
      <c r="J14"/>
      <c r="K14" s="303"/>
      <c r="L14" s="304"/>
      <c r="M14" s="288"/>
      <c r="N14" s="288"/>
    </row>
    <row r="15" spans="1:15">
      <c r="A15" s="286">
        <v>1</v>
      </c>
      <c r="B15" s="286"/>
      <c r="D15" s="36"/>
      <c r="E15" s="7"/>
      <c r="F15" s="293"/>
      <c r="G15" s="7"/>
      <c r="H15" s="7"/>
      <c r="I15" s="7"/>
      <c r="K15" s="7"/>
      <c r="L15" s="7"/>
      <c r="M15" s="288"/>
      <c r="N15" s="288"/>
    </row>
    <row r="16" spans="1:15">
      <c r="B16" s="286"/>
      <c r="C16" s="36"/>
      <c r="D16" s="36"/>
      <c r="E16" s="7"/>
      <c r="F16" s="293"/>
      <c r="G16" s="7"/>
      <c r="H16" s="7"/>
      <c r="I16" s="7"/>
      <c r="K16" s="7"/>
      <c r="L16" s="7"/>
      <c r="M16" s="288"/>
      <c r="N16" s="288"/>
    </row>
    <row r="17" spans="1:14">
      <c r="A17" s="286">
        <f>+A15+1</f>
        <v>2</v>
      </c>
      <c r="B17" s="286"/>
      <c r="C17" s="36" t="s">
        <v>324</v>
      </c>
      <c r="D17" s="290" t="s">
        <v>218</v>
      </c>
      <c r="E17" s="944">
        <v>0</v>
      </c>
      <c r="F17" s="293"/>
      <c r="G17" s="944">
        <v>0</v>
      </c>
      <c r="H17" s="7"/>
      <c r="I17" s="291">
        <f>IF(G17="",0,(E17+G17)/2)</f>
        <v>0</v>
      </c>
      <c r="J17"/>
      <c r="K17" s="291"/>
      <c r="L17" s="7"/>
      <c r="M17" s="288"/>
      <c r="N17" s="288"/>
    </row>
    <row r="18" spans="1:14">
      <c r="B18" s="286"/>
      <c r="C18" s="36"/>
      <c r="D18"/>
      <c r="E18"/>
      <c r="F18"/>
      <c r="G18"/>
      <c r="H18"/>
      <c r="I18" s="3"/>
      <c r="J18"/>
      <c r="K18"/>
      <c r="L18" s="7"/>
      <c r="M18" s="288"/>
      <c r="N18" s="288"/>
    </row>
    <row r="19" spans="1:14">
      <c r="B19" s="286"/>
      <c r="C19" s="36"/>
      <c r="D19" s="290"/>
      <c r="E19" s="944"/>
      <c r="F19" s="293"/>
      <c r="G19" s="944"/>
      <c r="H19" s="7"/>
      <c r="I19" s="291"/>
      <c r="J19"/>
      <c r="K19"/>
      <c r="L19" s="7"/>
      <c r="M19" s="288"/>
      <c r="N19" s="288"/>
    </row>
    <row r="20" spans="1:14">
      <c r="A20" s="1071"/>
      <c r="B20" s="1071"/>
      <c r="C20" s="1072"/>
      <c r="D20"/>
      <c r="E20"/>
      <c r="F20"/>
      <c r="G20"/>
      <c r="H20"/>
      <c r="I20" s="98"/>
      <c r="J20"/>
      <c r="K20"/>
      <c r="L20" s="7"/>
      <c r="M20" s="288"/>
      <c r="N20" s="288"/>
    </row>
    <row r="21" spans="1:14">
      <c r="A21" s="286">
        <f>+A17+1</f>
        <v>3</v>
      </c>
      <c r="B21" s="286"/>
      <c r="C21" s="36" t="s">
        <v>325</v>
      </c>
      <c r="D21" s="290" t="s">
        <v>219</v>
      </c>
      <c r="E21" s="342"/>
      <c r="F21" s="293"/>
      <c r="G21" s="342"/>
      <c r="H21" s="292"/>
      <c r="I21" s="291">
        <f>IF(G21="",0,(E21+G21)/2)</f>
        <v>0</v>
      </c>
      <c r="J21"/>
      <c r="K21" s="303"/>
      <c r="L21" s="304"/>
      <c r="M21" s="288"/>
      <c r="N21" s="288"/>
    </row>
    <row r="22" spans="1:14">
      <c r="B22" s="286"/>
      <c r="C22" s="36"/>
      <c r="D22" s="290"/>
      <c r="E22"/>
      <c r="F22"/>
      <c r="G22"/>
      <c r="H22"/>
      <c r="I22"/>
      <c r="J22"/>
      <c r="K22" s="303"/>
      <c r="L22" s="304"/>
      <c r="M22" s="288"/>
      <c r="N22" s="288"/>
    </row>
    <row r="23" spans="1:14">
      <c r="A23" s="286">
        <f>+A21+1</f>
        <v>4</v>
      </c>
      <c r="B23" s="286"/>
      <c r="C23" s="36" t="s">
        <v>762</v>
      </c>
      <c r="D23" s="290" t="s">
        <v>220</v>
      </c>
      <c r="E23" s="342"/>
      <c r="F23" s="293"/>
      <c r="G23" s="342"/>
      <c r="H23" s="292"/>
      <c r="I23" s="291">
        <f>IF(G23="",0,(E23+G23)/2)</f>
        <v>0</v>
      </c>
      <c r="J23"/>
      <c r="K23" s="303"/>
      <c r="L23" s="304"/>
      <c r="M23" s="288"/>
      <c r="N23" s="288"/>
    </row>
    <row r="24" spans="1:14">
      <c r="B24" s="286"/>
      <c r="C24" s="289"/>
      <c r="D24" s="305"/>
      <c r="E24" s="293"/>
      <c r="F24" s="293"/>
      <c r="H24" s="292"/>
      <c r="J24"/>
      <c r="K24" s="303"/>
      <c r="L24" s="304"/>
      <c r="M24" s="288"/>
      <c r="N24" s="288"/>
    </row>
    <row r="25" spans="1:14">
      <c r="A25" s="307"/>
      <c r="B25" s="307"/>
      <c r="C25" s="308"/>
      <c r="D25" s="309"/>
      <c r="E25" s="310"/>
      <c r="F25" s="310"/>
      <c r="G25" s="311"/>
      <c r="H25" s="312"/>
      <c r="I25" s="311"/>
      <c r="J25" s="313"/>
      <c r="K25" s="314"/>
      <c r="L25" s="315"/>
      <c r="M25" s="288"/>
      <c r="N25" s="288"/>
    </row>
    <row r="26" spans="1:14" ht="18">
      <c r="B26" s="1167" t="s">
        <v>763</v>
      </c>
      <c r="C26" s="1167"/>
      <c r="D26" s="1167"/>
      <c r="E26" s="1167"/>
      <c r="F26" s="1167"/>
      <c r="G26" s="1167"/>
      <c r="H26" s="1167"/>
      <c r="I26" s="1167"/>
      <c r="J26" s="1167"/>
      <c r="K26" s="1167"/>
      <c r="L26" s="304"/>
      <c r="M26" s="288"/>
      <c r="N26" s="288"/>
    </row>
    <row r="27" spans="1:14" ht="12.75" customHeight="1">
      <c r="B27" s="316"/>
      <c r="C27" s="289"/>
      <c r="D27" s="7"/>
      <c r="E27" s="317"/>
      <c r="G27" s="317" t="s">
        <v>386</v>
      </c>
      <c r="I27" s="4" t="s">
        <v>415</v>
      </c>
      <c r="J27" s="4" t="s">
        <v>415</v>
      </c>
      <c r="K27" s="4" t="s">
        <v>477</v>
      </c>
      <c r="L27" s="304"/>
      <c r="M27" s="288"/>
      <c r="N27" s="288"/>
    </row>
    <row r="28" spans="1:14" ht="12.75" customHeight="1">
      <c r="B28" s="316"/>
      <c r="C28" s="289"/>
      <c r="D28" s="318" t="s">
        <v>297</v>
      </c>
      <c r="E28" s="4" t="s">
        <v>327</v>
      </c>
      <c r="G28" s="4" t="s">
        <v>415</v>
      </c>
      <c r="I28" s="4" t="s">
        <v>317</v>
      </c>
      <c r="J28" s="4" t="s">
        <v>459</v>
      </c>
      <c r="K28" s="4" t="s">
        <v>478</v>
      </c>
      <c r="L28" s="304"/>
      <c r="M28" s="288"/>
      <c r="N28" s="288"/>
    </row>
    <row r="29" spans="1:14" ht="12.75" customHeight="1">
      <c r="A29" s="286">
        <f>+A23+1</f>
        <v>5</v>
      </c>
      <c r="B29" s="316"/>
      <c r="C29" s="289"/>
      <c r="D29" s="287" t="s">
        <v>387</v>
      </c>
      <c r="E29" s="287" t="s">
        <v>298</v>
      </c>
      <c r="G29" s="287" t="s">
        <v>318</v>
      </c>
      <c r="I29" s="287" t="s">
        <v>318</v>
      </c>
      <c r="J29" s="287" t="s">
        <v>318</v>
      </c>
      <c r="K29" s="287" t="s">
        <v>319</v>
      </c>
      <c r="L29" s="304"/>
      <c r="M29" s="288"/>
      <c r="N29" s="288"/>
    </row>
    <row r="30" spans="1:14">
      <c r="B30" s="286"/>
      <c r="C30" s="289"/>
      <c r="D30" s="305"/>
      <c r="E30" s="293"/>
      <c r="F30" s="293"/>
      <c r="H30" s="292"/>
      <c r="J30"/>
      <c r="K30" s="319"/>
      <c r="L30" s="304"/>
      <c r="M30" s="288"/>
      <c r="N30" s="288"/>
    </row>
    <row r="31" spans="1:14">
      <c r="A31" s="286">
        <f>+A29+1</f>
        <v>6</v>
      </c>
      <c r="B31" s="286"/>
      <c r="C31" s="285" t="str">
        <f>"Totals as of December 31, "&amp;TCOS!L4&amp;""</f>
        <v>Totals as of December 31, 2026</v>
      </c>
      <c r="D31" s="320">
        <f>ROUND(D57,0)</f>
        <v>1006917</v>
      </c>
      <c r="E31" s="321">
        <f>ROUND(E57,0)</f>
        <v>0</v>
      </c>
      <c r="F31" s="322"/>
      <c r="G31" s="320">
        <f>ROUND(G57,0)</f>
        <v>0</v>
      </c>
      <c r="H31" s="292"/>
      <c r="I31" s="320">
        <f>ROUND(I57,0)</f>
        <v>1006917</v>
      </c>
      <c r="J31" s="323">
        <f>+J57</f>
        <v>0</v>
      </c>
      <c r="K31" s="320">
        <f>ROUND(K57,0)</f>
        <v>1006917</v>
      </c>
      <c r="L31" s="304"/>
      <c r="M31" s="288"/>
      <c r="N31" s="288"/>
    </row>
    <row r="32" spans="1:14">
      <c r="A32" s="286">
        <f>+A31+1</f>
        <v>7</v>
      </c>
      <c r="B32" s="286"/>
      <c r="C32" s="285" t="str">
        <f>"Totals as of December 31, "&amp;(TCOS!L4-1)&amp;""</f>
        <v>Totals as of December 31, 2025</v>
      </c>
      <c r="D32" s="324">
        <f>ROUND(D81,0)</f>
        <v>1006917</v>
      </c>
      <c r="E32" s="325">
        <f>ROUND(E81,0)</f>
        <v>0</v>
      </c>
      <c r="F32" s="293"/>
      <c r="G32" s="324">
        <f>ROUND(G81,0)</f>
        <v>0</v>
      </c>
      <c r="H32" s="292"/>
      <c r="I32" s="324">
        <f>ROUND(I81,0)</f>
        <v>1006917</v>
      </c>
      <c r="J32" s="324">
        <f>+J81</f>
        <v>0</v>
      </c>
      <c r="K32" s="324">
        <f>ROUND(K81,0)</f>
        <v>1006917</v>
      </c>
      <c r="L32" s="304"/>
      <c r="M32" s="288"/>
      <c r="N32" s="288"/>
    </row>
    <row r="33" spans="1:14" ht="13.5" thickBot="1">
      <c r="A33" s="286">
        <f>+A32+1</f>
        <v>8</v>
      </c>
      <c r="B33" s="286"/>
      <c r="C33" s="297" t="s">
        <v>503</v>
      </c>
      <c r="D33" s="326">
        <f>IF(D32="",0,(D31+D32)/2)</f>
        <v>1006917</v>
      </c>
      <c r="E33" s="326">
        <f>IF(E32="",0,(E31+E32)/2)</f>
        <v>0</v>
      </c>
      <c r="F33" s="327"/>
      <c r="G33" s="326">
        <f>IF(G32="",0,(G31+G32)/2)</f>
        <v>0</v>
      </c>
      <c r="H33" s="328"/>
      <c r="I33" s="326">
        <f>IF(I32="",0,(I31+I32)/2)</f>
        <v>1006917</v>
      </c>
      <c r="J33" s="326">
        <f>IF(J32="",0,(J31+J32)/2)</f>
        <v>0</v>
      </c>
      <c r="K33" s="326">
        <f>IF(K32="",0,(K31+K32)/2)</f>
        <v>1006917</v>
      </c>
      <c r="L33" s="304"/>
      <c r="M33" s="288"/>
      <c r="N33" s="288"/>
    </row>
    <row r="34" spans="1:14" ht="13.5" thickTop="1">
      <c r="B34" s="286"/>
      <c r="D34" s="305"/>
      <c r="E34" s="293"/>
      <c r="F34" s="293"/>
      <c r="H34" s="292"/>
      <c r="J34"/>
      <c r="K34" s="303"/>
      <c r="L34" s="304"/>
      <c r="M34" s="288"/>
      <c r="N34" s="288"/>
    </row>
    <row r="35" spans="1:14">
      <c r="A35" s="285"/>
      <c r="J35"/>
      <c r="K35" s="303"/>
      <c r="L35" s="304"/>
      <c r="M35" s="288"/>
      <c r="N35" s="288"/>
    </row>
    <row r="36" spans="1:14" ht="18">
      <c r="B36" s="1166" t="str">
        <f>"Prepayments Account 165 - Balance @ 12/31/"&amp;D38&amp;""</f>
        <v>Prepayments Account 165 - Balance @ 12/31/2026</v>
      </c>
      <c r="C36" s="1171"/>
      <c r="D36" s="1171"/>
      <c r="E36" s="1171"/>
      <c r="F36" s="1171"/>
      <c r="G36" s="1171"/>
      <c r="H36" s="1171"/>
      <c r="I36" s="1171"/>
      <c r="J36" s="1171"/>
      <c r="K36" s="303"/>
      <c r="L36" s="304"/>
      <c r="M36" s="288"/>
      <c r="N36" s="288"/>
    </row>
    <row r="37" spans="1:14">
      <c r="B37" s="75"/>
      <c r="C37" s="76"/>
      <c r="D37" s="7"/>
      <c r="E37" s="317"/>
      <c r="G37" s="317" t="s">
        <v>386</v>
      </c>
      <c r="I37" s="4" t="s">
        <v>415</v>
      </c>
      <c r="J37" s="4" t="s">
        <v>415</v>
      </c>
      <c r="K37" s="4" t="s">
        <v>477</v>
      </c>
      <c r="L37"/>
      <c r="M37" s="288"/>
      <c r="N37" s="288"/>
    </row>
    <row r="38" spans="1:14">
      <c r="B38" s="75"/>
      <c r="C38" s="329"/>
      <c r="D38" s="318" t="str">
        <f>""&amp;TCOS!L4</f>
        <v>2026</v>
      </c>
      <c r="E38" s="4" t="s">
        <v>327</v>
      </c>
      <c r="G38" s="4" t="s">
        <v>415</v>
      </c>
      <c r="I38" s="4" t="s">
        <v>317</v>
      </c>
      <c r="J38" s="4" t="s">
        <v>459</v>
      </c>
      <c r="K38" s="4" t="s">
        <v>478</v>
      </c>
      <c r="L38"/>
      <c r="M38" s="288"/>
      <c r="N38" s="288"/>
    </row>
    <row r="39" spans="1:14">
      <c r="A39" s="286">
        <f>+A33+1</f>
        <v>9</v>
      </c>
      <c r="B39" s="287" t="s">
        <v>389</v>
      </c>
      <c r="C39" s="287" t="s">
        <v>465</v>
      </c>
      <c r="D39" s="287" t="s">
        <v>387</v>
      </c>
      <c r="E39" s="287" t="s">
        <v>298</v>
      </c>
      <c r="G39" s="287" t="s">
        <v>318</v>
      </c>
      <c r="I39" s="287" t="s">
        <v>318</v>
      </c>
      <c r="J39" s="287" t="s">
        <v>318</v>
      </c>
      <c r="K39" s="287" t="s">
        <v>319</v>
      </c>
      <c r="L39" s="287" t="s">
        <v>371</v>
      </c>
      <c r="M39" s="288"/>
      <c r="N39" s="288"/>
    </row>
    <row r="40" spans="1:14">
      <c r="B40" s="75"/>
      <c r="C40" s="76"/>
      <c r="D40" s="76"/>
      <c r="E40" s="76"/>
      <c r="G40" s="76"/>
      <c r="I40" s="76"/>
      <c r="J40" s="76"/>
      <c r="K40" s="319"/>
      <c r="L40"/>
      <c r="M40" s="288"/>
      <c r="N40" s="288"/>
    </row>
    <row r="41" spans="1:14" ht="14.25">
      <c r="A41" s="286">
        <f>+A39+1</f>
        <v>10</v>
      </c>
      <c r="B41" s="931">
        <v>1650001</v>
      </c>
      <c r="C41" s="681" t="s">
        <v>799</v>
      </c>
      <c r="D41" s="946">
        <v>1001860.7090364691</v>
      </c>
      <c r="E41" s="330">
        <f t="shared" ref="E41:E55" si="0">+D41-K41</f>
        <v>0</v>
      </c>
      <c r="G41" s="331"/>
      <c r="I41" s="331">
        <f>+D41</f>
        <v>1001860.7090364691</v>
      </c>
      <c r="J41" s="331"/>
      <c r="K41" s="331">
        <f>+G41+I41+J41</f>
        <v>1001860.7090364691</v>
      </c>
      <c r="L41"/>
      <c r="M41" s="288"/>
      <c r="N41" s="288"/>
    </row>
    <row r="42" spans="1:14" ht="14.25">
      <c r="A42" s="286">
        <f>+A41+1</f>
        <v>11</v>
      </c>
      <c r="B42" s="932">
        <v>1650021</v>
      </c>
      <c r="C42" s="681" t="s">
        <v>800</v>
      </c>
      <c r="D42" s="946">
        <v>0</v>
      </c>
      <c r="E42" s="330">
        <f t="shared" si="0"/>
        <v>0</v>
      </c>
      <c r="G42" s="331"/>
      <c r="I42" s="331">
        <f>+D42</f>
        <v>0</v>
      </c>
      <c r="J42" s="331"/>
      <c r="K42" s="331">
        <f t="shared" ref="K42:K56" si="1">+G42+I42+J42</f>
        <v>0</v>
      </c>
      <c r="L42"/>
      <c r="M42" s="288"/>
      <c r="N42" s="288"/>
    </row>
    <row r="43" spans="1:14" ht="14.25">
      <c r="A43" s="286">
        <f t="shared" ref="A43:A56" si="2">+A42+1</f>
        <v>12</v>
      </c>
      <c r="B43" s="931">
        <v>1650023</v>
      </c>
      <c r="C43" s="681" t="s">
        <v>801</v>
      </c>
      <c r="D43" s="946">
        <v>5056.2982211437147</v>
      </c>
      <c r="E43" s="330">
        <f t="shared" si="0"/>
        <v>0</v>
      </c>
      <c r="G43" s="331"/>
      <c r="I43" s="331">
        <f>+D43</f>
        <v>5056.2982211437147</v>
      </c>
      <c r="J43" s="331"/>
      <c r="K43" s="331">
        <f t="shared" si="1"/>
        <v>5056.2982211437147</v>
      </c>
      <c r="L43"/>
      <c r="M43" s="288"/>
      <c r="N43" s="288"/>
    </row>
    <row r="44" spans="1:14" ht="14.25">
      <c r="A44" s="286">
        <f t="shared" si="2"/>
        <v>13</v>
      </c>
      <c r="B44" s="679"/>
      <c r="C44" s="681"/>
      <c r="D44" s="704"/>
      <c r="E44" s="330">
        <f t="shared" si="0"/>
        <v>0</v>
      </c>
      <c r="G44" s="331"/>
      <c r="I44" s="331">
        <f t="shared" ref="I44:I51" si="3">+D44</f>
        <v>0</v>
      </c>
      <c r="J44" s="331"/>
      <c r="K44" s="331">
        <f t="shared" si="1"/>
        <v>0</v>
      </c>
      <c r="L44"/>
      <c r="M44" s="288"/>
      <c r="N44" s="288"/>
    </row>
    <row r="45" spans="1:14" ht="14.25">
      <c r="A45" s="286">
        <f t="shared" si="2"/>
        <v>14</v>
      </c>
      <c r="B45" s="679"/>
      <c r="C45" s="681"/>
      <c r="D45" s="704"/>
      <c r="E45" s="330">
        <f t="shared" si="0"/>
        <v>0</v>
      </c>
      <c r="G45" s="331"/>
      <c r="I45" s="331">
        <f t="shared" si="3"/>
        <v>0</v>
      </c>
      <c r="J45" s="331"/>
      <c r="K45" s="331">
        <f t="shared" si="1"/>
        <v>0</v>
      </c>
      <c r="L45"/>
      <c r="M45" s="288"/>
      <c r="N45" s="288"/>
    </row>
    <row r="46" spans="1:14" ht="14.25">
      <c r="A46" s="286">
        <f t="shared" si="2"/>
        <v>15</v>
      </c>
      <c r="B46" s="679"/>
      <c r="C46" s="681"/>
      <c r="D46" s="704"/>
      <c r="E46" s="330">
        <f t="shared" si="0"/>
        <v>0</v>
      </c>
      <c r="G46" s="331"/>
      <c r="I46" s="331">
        <f t="shared" si="3"/>
        <v>0</v>
      </c>
      <c r="J46" s="331"/>
      <c r="K46" s="331">
        <f t="shared" si="1"/>
        <v>0</v>
      </c>
      <c r="L46"/>
      <c r="M46" s="288"/>
      <c r="N46" s="288"/>
    </row>
    <row r="47" spans="1:14" ht="14.25">
      <c r="A47" s="286">
        <f t="shared" si="2"/>
        <v>16</v>
      </c>
      <c r="B47" s="679"/>
      <c r="C47" s="681"/>
      <c r="D47" s="704"/>
      <c r="E47" s="330">
        <f t="shared" si="0"/>
        <v>0</v>
      </c>
      <c r="G47" s="332"/>
      <c r="I47" s="331">
        <f t="shared" si="3"/>
        <v>0</v>
      </c>
      <c r="J47" s="332"/>
      <c r="K47" s="332">
        <f t="shared" si="1"/>
        <v>0</v>
      </c>
      <c r="L47"/>
      <c r="M47" s="288"/>
      <c r="N47" s="288"/>
    </row>
    <row r="48" spans="1:14" ht="14.25">
      <c r="A48" s="286">
        <f t="shared" si="2"/>
        <v>17</v>
      </c>
      <c r="B48" s="679"/>
      <c r="C48" s="681"/>
      <c r="D48" s="704"/>
      <c r="E48" s="330">
        <f t="shared" si="0"/>
        <v>0</v>
      </c>
      <c r="G48" s="331"/>
      <c r="I48" s="331">
        <f t="shared" si="3"/>
        <v>0</v>
      </c>
      <c r="J48" s="331"/>
      <c r="K48" s="332">
        <f t="shared" si="1"/>
        <v>0</v>
      </c>
      <c r="L48" s="3"/>
      <c r="M48" s="288"/>
      <c r="N48" s="288"/>
    </row>
    <row r="49" spans="1:15" ht="14.25">
      <c r="A49" s="286">
        <f t="shared" si="2"/>
        <v>18</v>
      </c>
      <c r="B49" s="679"/>
      <c r="C49" s="681"/>
      <c r="D49" s="704"/>
      <c r="E49" s="330">
        <f t="shared" si="0"/>
        <v>0</v>
      </c>
      <c r="G49" s="331"/>
      <c r="I49" s="331">
        <f t="shared" si="3"/>
        <v>0</v>
      </c>
      <c r="J49" s="331"/>
      <c r="K49" s="332">
        <f t="shared" si="1"/>
        <v>0</v>
      </c>
      <c r="L49"/>
      <c r="M49" s="288"/>
      <c r="N49" s="288"/>
    </row>
    <row r="50" spans="1:15" ht="14.25">
      <c r="A50" s="286">
        <f t="shared" si="2"/>
        <v>19</v>
      </c>
      <c r="B50" s="679"/>
      <c r="C50" s="681"/>
      <c r="D50" s="704"/>
      <c r="E50" s="330">
        <f t="shared" si="0"/>
        <v>0</v>
      </c>
      <c r="G50" s="331"/>
      <c r="I50" s="331">
        <f t="shared" si="3"/>
        <v>0</v>
      </c>
      <c r="J50" s="331"/>
      <c r="K50" s="332">
        <f t="shared" si="1"/>
        <v>0</v>
      </c>
      <c r="L50"/>
      <c r="M50" s="288"/>
      <c r="N50" s="288"/>
    </row>
    <row r="51" spans="1:15" ht="14.25">
      <c r="A51" s="286">
        <f t="shared" si="2"/>
        <v>20</v>
      </c>
      <c r="B51" s="680"/>
      <c r="C51" s="681"/>
      <c r="D51" s="704"/>
      <c r="E51" s="330">
        <f t="shared" si="0"/>
        <v>0</v>
      </c>
      <c r="G51" s="331"/>
      <c r="I51" s="331">
        <f t="shared" si="3"/>
        <v>0</v>
      </c>
      <c r="J51" s="333"/>
      <c r="K51" s="332">
        <f>+G51+I51+J51</f>
        <v>0</v>
      </c>
      <c r="L51"/>
      <c r="M51" s="288"/>
      <c r="N51" s="288"/>
    </row>
    <row r="52" spans="1:15" ht="14.25">
      <c r="A52" s="286">
        <f t="shared" si="2"/>
        <v>21</v>
      </c>
      <c r="B52" s="680"/>
      <c r="C52" s="681"/>
      <c r="D52" s="704"/>
      <c r="E52" s="330">
        <f t="shared" si="0"/>
        <v>0</v>
      </c>
      <c r="G52" s="331"/>
      <c r="I52" s="331">
        <f>D52</f>
        <v>0</v>
      </c>
      <c r="J52" s="333">
        <v>0</v>
      </c>
      <c r="K52" s="332">
        <f>+G52+I52+J52</f>
        <v>0</v>
      </c>
      <c r="L52"/>
      <c r="M52" s="288"/>
      <c r="N52" s="288"/>
    </row>
    <row r="53" spans="1:15" ht="14.25">
      <c r="A53" s="286">
        <f t="shared" si="2"/>
        <v>22</v>
      </c>
      <c r="B53" s="680"/>
      <c r="C53" s="681"/>
      <c r="D53" s="704"/>
      <c r="E53" s="330">
        <f t="shared" si="0"/>
        <v>0</v>
      </c>
      <c r="G53" s="331"/>
      <c r="I53" s="331"/>
      <c r="J53" s="333">
        <f>D53</f>
        <v>0</v>
      </c>
      <c r="K53" s="332">
        <f>+G53+I53+J53</f>
        <v>0</v>
      </c>
      <c r="L53"/>
      <c r="M53" s="288"/>
      <c r="N53" s="288"/>
    </row>
    <row r="54" spans="1:15" ht="14.25">
      <c r="A54" s="286">
        <f t="shared" si="2"/>
        <v>23</v>
      </c>
      <c r="B54" s="680"/>
      <c r="C54" s="681"/>
      <c r="D54" s="704"/>
      <c r="E54" s="330">
        <f t="shared" si="0"/>
        <v>0</v>
      </c>
      <c r="G54" s="331"/>
      <c r="I54" s="331"/>
      <c r="J54" s="333">
        <f>D54</f>
        <v>0</v>
      </c>
      <c r="K54" s="332">
        <f>+G54+I54+J54</f>
        <v>0</v>
      </c>
      <c r="L54"/>
      <c r="M54" s="288"/>
      <c r="N54" s="288"/>
    </row>
    <row r="55" spans="1:15" ht="14.25">
      <c r="A55" s="286">
        <f t="shared" si="2"/>
        <v>24</v>
      </c>
      <c r="B55" s="680"/>
      <c r="C55" s="681"/>
      <c r="D55" s="704"/>
      <c r="E55" s="330">
        <f t="shared" si="0"/>
        <v>0</v>
      </c>
      <c r="G55" s="331"/>
      <c r="I55" s="331"/>
      <c r="J55" s="333">
        <f>D55</f>
        <v>0</v>
      </c>
      <c r="K55" s="332">
        <f t="shared" si="1"/>
        <v>0</v>
      </c>
      <c r="L55"/>
      <c r="M55" s="288"/>
      <c r="N55" s="288"/>
    </row>
    <row r="56" spans="1:15" ht="15" thickBot="1">
      <c r="A56" s="286">
        <f t="shared" si="2"/>
        <v>25</v>
      </c>
      <c r="B56" s="680"/>
      <c r="C56" s="681"/>
      <c r="D56" s="704"/>
      <c r="E56" s="330"/>
      <c r="G56" s="331"/>
      <c r="I56" s="331"/>
      <c r="J56" s="331">
        <f>D56</f>
        <v>0</v>
      </c>
      <c r="K56" s="332">
        <f t="shared" si="1"/>
        <v>0</v>
      </c>
      <c r="L56"/>
      <c r="M56" s="288"/>
      <c r="N56" s="288"/>
    </row>
    <row r="57" spans="1:15">
      <c r="B57" s="75"/>
      <c r="C57" s="334" t="s">
        <v>299</v>
      </c>
      <c r="D57" s="335">
        <f>SUM(D41:D56)</f>
        <v>1006917.0072576128</v>
      </c>
      <c r="E57" s="336">
        <f>SUM(E41:E56)</f>
        <v>0</v>
      </c>
      <c r="G57" s="335">
        <f>SUM(G41:G56)</f>
        <v>0</v>
      </c>
      <c r="I57" s="335">
        <f>SUM(I41:I56)</f>
        <v>1006917.0072576128</v>
      </c>
      <c r="J57" s="335">
        <f>SUM(J41:J56)</f>
        <v>0</v>
      </c>
      <c r="K57" s="335">
        <f>SUM(K41:K56)</f>
        <v>1006917.0072576128</v>
      </c>
      <c r="L57"/>
      <c r="M57" s="288"/>
      <c r="N57" s="288"/>
    </row>
    <row r="58" spans="1:15">
      <c r="D58" s="337" t="s">
        <v>414</v>
      </c>
      <c r="K58" s="36"/>
      <c r="L58"/>
      <c r="M58" s="288"/>
      <c r="N58" s="288"/>
    </row>
    <row r="59" spans="1:15">
      <c r="B59"/>
      <c r="C59"/>
      <c r="D59"/>
      <c r="E59"/>
      <c r="F59"/>
      <c r="G59"/>
      <c r="H59"/>
      <c r="I59"/>
      <c r="J59"/>
      <c r="K59"/>
      <c r="L59"/>
      <c r="M59" s="288"/>
      <c r="N59" s="288"/>
      <c r="O59"/>
    </row>
    <row r="60" spans="1:15" ht="18">
      <c r="B60" s="1166" t="str">
        <f>"Prepayments Account 165 - Balance @ 12/31/ "&amp;D62&amp;""</f>
        <v>Prepayments Account 165 - Balance @ 12/31/ 2025</v>
      </c>
      <c r="C60" s="1166"/>
      <c r="D60" s="1166"/>
      <c r="E60" s="1166"/>
      <c r="F60" s="1166"/>
      <c r="G60" s="1166"/>
      <c r="H60" s="1166"/>
      <c r="I60" s="1166"/>
      <c r="J60" s="1166"/>
      <c r="K60" s="303"/>
      <c r="L60" s="304"/>
      <c r="M60" s="288"/>
      <c r="N60" s="288"/>
      <c r="O60"/>
    </row>
    <row r="61" spans="1:15">
      <c r="B61" s="338"/>
      <c r="C61" s="107"/>
      <c r="D61" s="339"/>
      <c r="E61" s="317"/>
      <c r="G61" s="317" t="s">
        <v>386</v>
      </c>
      <c r="I61" s="4" t="s">
        <v>415</v>
      </c>
      <c r="J61" s="4" t="s">
        <v>415</v>
      </c>
      <c r="K61" s="4" t="s">
        <v>477</v>
      </c>
      <c r="L61"/>
      <c r="M61" s="288"/>
      <c r="N61" s="288"/>
      <c r="O61"/>
    </row>
    <row r="62" spans="1:15">
      <c r="B62" s="338"/>
      <c r="C62" s="340"/>
      <c r="D62" s="4" t="str">
        <f>""&amp;TCOS!L4-1&amp;""</f>
        <v>2025</v>
      </c>
      <c r="E62" s="4" t="s">
        <v>327</v>
      </c>
      <c r="G62" s="4" t="s">
        <v>415</v>
      </c>
      <c r="I62" s="4" t="s">
        <v>317</v>
      </c>
      <c r="J62" s="4" t="s">
        <v>459</v>
      </c>
      <c r="K62" s="4" t="s">
        <v>478</v>
      </c>
      <c r="L62"/>
      <c r="M62" s="288"/>
      <c r="N62" s="288"/>
      <c r="O62"/>
    </row>
    <row r="63" spans="1:15">
      <c r="A63" s="286">
        <f>A56+1</f>
        <v>26</v>
      </c>
      <c r="B63" s="287" t="s">
        <v>389</v>
      </c>
      <c r="C63" s="287" t="s">
        <v>465</v>
      </c>
      <c r="D63" s="287" t="s">
        <v>387</v>
      </c>
      <c r="E63" s="287" t="s">
        <v>298</v>
      </c>
      <c r="G63" s="287" t="s">
        <v>318</v>
      </c>
      <c r="I63" s="287" t="s">
        <v>318</v>
      </c>
      <c r="J63" s="287" t="s">
        <v>318</v>
      </c>
      <c r="K63" s="287" t="s">
        <v>319</v>
      </c>
      <c r="L63" s="287" t="s">
        <v>371</v>
      </c>
      <c r="M63" s="288"/>
      <c r="N63" s="288"/>
      <c r="O63"/>
    </row>
    <row r="64" spans="1:15">
      <c r="B64" s="75"/>
      <c r="C64" s="76"/>
      <c r="D64" s="76"/>
      <c r="E64" s="76"/>
      <c r="G64" s="76"/>
      <c r="I64" s="76"/>
      <c r="J64" s="76"/>
      <c r="K64" s="76"/>
      <c r="L64"/>
      <c r="M64" s="288"/>
      <c r="N64" s="288"/>
      <c r="O64"/>
    </row>
    <row r="65" spans="1:15" ht="14.25">
      <c r="A65" s="286">
        <f>+A63+1</f>
        <v>27</v>
      </c>
      <c r="B65" s="931">
        <v>1650001</v>
      </c>
      <c r="C65" s="681" t="s">
        <v>799</v>
      </c>
      <c r="D65" s="946">
        <v>1001860.7090364691</v>
      </c>
      <c r="E65"/>
      <c r="F65"/>
      <c r="G65"/>
      <c r="H65"/>
      <c r="I65" s="341">
        <f>+D65</f>
        <v>1001860.7090364691</v>
      </c>
      <c r="J65"/>
      <c r="K65" s="331">
        <f t="shared" ref="K65:K80" si="4">+G65+I65+J65</f>
        <v>1001860.7090364691</v>
      </c>
      <c r="L65"/>
      <c r="M65" s="288"/>
      <c r="N65" s="288"/>
      <c r="O65"/>
    </row>
    <row r="66" spans="1:15" ht="14.25">
      <c r="A66" s="286">
        <f>+A65+1</f>
        <v>28</v>
      </c>
      <c r="B66" s="932">
        <v>1650021</v>
      </c>
      <c r="C66" s="681" t="s">
        <v>800</v>
      </c>
      <c r="D66" s="946">
        <v>0</v>
      </c>
      <c r="E66" s="330">
        <f>+D66-K66</f>
        <v>0</v>
      </c>
      <c r="G66" s="331"/>
      <c r="I66" s="331">
        <f>+D66</f>
        <v>0</v>
      </c>
      <c r="J66" s="331"/>
      <c r="K66" s="331">
        <f t="shared" si="4"/>
        <v>0</v>
      </c>
      <c r="L66"/>
      <c r="M66" s="288"/>
      <c r="N66" s="288"/>
      <c r="O66"/>
    </row>
    <row r="67" spans="1:15" ht="14.25">
      <c r="A67" s="286">
        <f t="shared" ref="A67:A80" si="5">+A66+1</f>
        <v>29</v>
      </c>
      <c r="B67" s="931">
        <v>1650023</v>
      </c>
      <c r="C67" s="681" t="s">
        <v>801</v>
      </c>
      <c r="D67" s="946">
        <v>5056.2982211437147</v>
      </c>
      <c r="E67" s="330">
        <f>+D67-K67</f>
        <v>0</v>
      </c>
      <c r="G67" s="331"/>
      <c r="I67" s="331">
        <f>+D67</f>
        <v>5056.2982211437147</v>
      </c>
      <c r="J67" s="331"/>
      <c r="K67" s="331">
        <f t="shared" si="4"/>
        <v>5056.2982211437147</v>
      </c>
      <c r="L67"/>
      <c r="M67" s="288"/>
      <c r="N67" s="288"/>
      <c r="O67"/>
    </row>
    <row r="68" spans="1:15" ht="14.25">
      <c r="A68" s="286">
        <f t="shared" si="5"/>
        <v>30</v>
      </c>
      <c r="B68" s="680"/>
      <c r="C68" s="681"/>
      <c r="D68" s="704"/>
      <c r="E68" s="330">
        <f>+D68-K68</f>
        <v>0</v>
      </c>
      <c r="G68" s="331"/>
      <c r="I68" s="331"/>
      <c r="J68" s="331"/>
      <c r="K68" s="331">
        <f t="shared" si="4"/>
        <v>0</v>
      </c>
      <c r="L68"/>
      <c r="M68" s="288"/>
      <c r="N68" s="288"/>
      <c r="O68"/>
    </row>
    <row r="69" spans="1:15" ht="14.25">
      <c r="A69" s="286">
        <f t="shared" si="5"/>
        <v>31</v>
      </c>
      <c r="B69" s="680"/>
      <c r="C69" s="681"/>
      <c r="D69" s="704"/>
      <c r="E69" s="330">
        <f>+D69-K69</f>
        <v>0</v>
      </c>
      <c r="G69" s="331"/>
      <c r="I69" s="331"/>
      <c r="J69" s="331"/>
      <c r="K69" s="331">
        <f t="shared" si="4"/>
        <v>0</v>
      </c>
      <c r="L69"/>
      <c r="M69" s="288"/>
      <c r="N69" s="288"/>
      <c r="O69"/>
    </row>
    <row r="70" spans="1:15" ht="14.25">
      <c r="A70" s="286">
        <f t="shared" si="5"/>
        <v>32</v>
      </c>
      <c r="B70" s="680"/>
      <c r="C70" s="681"/>
      <c r="D70" s="704"/>
      <c r="E70" s="331">
        <f>+D70-K70</f>
        <v>0</v>
      </c>
      <c r="G70" s="331"/>
      <c r="I70" s="331"/>
      <c r="J70" s="331"/>
      <c r="K70" s="331">
        <f t="shared" si="4"/>
        <v>0</v>
      </c>
      <c r="L70"/>
      <c r="M70" s="288"/>
      <c r="N70" s="288"/>
      <c r="O70"/>
    </row>
    <row r="71" spans="1:15" ht="14.25">
      <c r="A71" s="286">
        <f t="shared" si="5"/>
        <v>33</v>
      </c>
      <c r="B71" s="680"/>
      <c r="C71" s="681"/>
      <c r="D71" s="704"/>
      <c r="E71" s="332">
        <f>+D71</f>
        <v>0</v>
      </c>
      <c r="G71" s="332"/>
      <c r="I71" s="332"/>
      <c r="J71" s="332"/>
      <c r="K71" s="332">
        <f t="shared" si="4"/>
        <v>0</v>
      </c>
      <c r="L71"/>
      <c r="M71" s="288"/>
      <c r="N71" s="288"/>
      <c r="O71"/>
    </row>
    <row r="72" spans="1:15" ht="14.25">
      <c r="A72" s="286">
        <f t="shared" si="5"/>
        <v>34</v>
      </c>
      <c r="B72" s="680"/>
      <c r="C72" s="681"/>
      <c r="D72" s="704"/>
      <c r="E72" s="331">
        <f>+D72-K72</f>
        <v>0</v>
      </c>
      <c r="G72" s="331"/>
      <c r="I72" s="331"/>
      <c r="J72" s="331"/>
      <c r="K72" s="332">
        <f t="shared" si="4"/>
        <v>0</v>
      </c>
      <c r="L72" s="3"/>
      <c r="M72" s="288"/>
      <c r="N72" s="288"/>
      <c r="O72"/>
    </row>
    <row r="73" spans="1:15" ht="14.25">
      <c r="A73" s="286">
        <f t="shared" si="5"/>
        <v>35</v>
      </c>
      <c r="B73" s="680"/>
      <c r="C73" s="681"/>
      <c r="D73" s="704"/>
      <c r="E73" s="331"/>
      <c r="G73" s="331"/>
      <c r="I73" s="331"/>
      <c r="J73" s="331"/>
      <c r="K73" s="332">
        <f t="shared" si="4"/>
        <v>0</v>
      </c>
      <c r="L73"/>
      <c r="M73" s="288"/>
      <c r="N73" s="288"/>
      <c r="O73"/>
    </row>
    <row r="74" spans="1:15" ht="14.25">
      <c r="A74" s="286">
        <f>+A71+1</f>
        <v>34</v>
      </c>
      <c r="B74" s="680"/>
      <c r="C74" s="681"/>
      <c r="D74" s="704"/>
      <c r="E74" s="331">
        <f>+D74</f>
        <v>0</v>
      </c>
      <c r="G74" s="331"/>
      <c r="I74" s="331"/>
      <c r="J74" s="331"/>
      <c r="K74" s="332">
        <f>+G74+I74+J74</f>
        <v>0</v>
      </c>
      <c r="L74"/>
      <c r="M74" s="288"/>
      <c r="N74" s="288"/>
      <c r="O74"/>
    </row>
    <row r="75" spans="1:15" ht="14.25">
      <c r="A75" s="286">
        <f t="shared" si="5"/>
        <v>35</v>
      </c>
      <c r="B75" s="680"/>
      <c r="C75" s="681"/>
      <c r="D75" s="704"/>
      <c r="E75" s="331">
        <v>0</v>
      </c>
      <c r="G75" s="331"/>
      <c r="I75" s="331">
        <f>D75</f>
        <v>0</v>
      </c>
      <c r="J75" s="333"/>
      <c r="K75" s="332">
        <f>+G75+I75+J75</f>
        <v>0</v>
      </c>
      <c r="L75"/>
      <c r="M75" s="288"/>
      <c r="N75" s="288"/>
      <c r="O75"/>
    </row>
    <row r="76" spans="1:15" ht="14.25">
      <c r="A76" s="286">
        <f t="shared" si="5"/>
        <v>36</v>
      </c>
      <c r="B76" s="680"/>
      <c r="C76" s="681"/>
      <c r="D76" s="704"/>
      <c r="E76" s="330">
        <v>0</v>
      </c>
      <c r="G76" s="331"/>
      <c r="I76" s="331">
        <f>D76</f>
        <v>0</v>
      </c>
      <c r="J76" s="333">
        <v>0</v>
      </c>
      <c r="K76" s="332">
        <f>+G76+I76+J76</f>
        <v>0</v>
      </c>
      <c r="L76"/>
      <c r="M76" s="288"/>
      <c r="N76" s="288"/>
      <c r="O76"/>
    </row>
    <row r="77" spans="1:15" ht="14.25">
      <c r="A77" s="286">
        <f t="shared" si="5"/>
        <v>37</v>
      </c>
      <c r="B77" s="680"/>
      <c r="C77" s="681"/>
      <c r="D77" s="704"/>
      <c r="E77" s="330">
        <f>+D77-K77</f>
        <v>0</v>
      </c>
      <c r="G77" s="331"/>
      <c r="I77" s="331"/>
      <c r="J77" s="333">
        <f>D77</f>
        <v>0</v>
      </c>
      <c r="K77" s="332">
        <f>+G77+I77+J77</f>
        <v>0</v>
      </c>
      <c r="L77"/>
      <c r="M77" s="288"/>
      <c r="N77" s="288"/>
      <c r="O77"/>
    </row>
    <row r="78" spans="1:15" ht="14.25">
      <c r="A78" s="286">
        <f t="shared" si="5"/>
        <v>38</v>
      </c>
      <c r="B78" s="680"/>
      <c r="C78" s="681"/>
      <c r="D78" s="704"/>
      <c r="E78" s="330">
        <f>+D78-K78</f>
        <v>0</v>
      </c>
      <c r="G78" s="331"/>
      <c r="I78" s="331"/>
      <c r="J78" s="333">
        <f>D78</f>
        <v>0</v>
      </c>
      <c r="K78" s="332">
        <f t="shared" si="4"/>
        <v>0</v>
      </c>
      <c r="L78"/>
      <c r="M78" s="288"/>
      <c r="N78" s="288"/>
      <c r="O78"/>
    </row>
    <row r="79" spans="1:15" ht="14.25">
      <c r="A79" s="286">
        <f t="shared" si="5"/>
        <v>39</v>
      </c>
      <c r="B79" s="680"/>
      <c r="C79" s="681"/>
      <c r="D79" s="704"/>
      <c r="E79" s="330">
        <f>+D79-K79</f>
        <v>0</v>
      </c>
      <c r="G79" s="331"/>
      <c r="I79" s="331"/>
      <c r="J79" s="333">
        <f>D79</f>
        <v>0</v>
      </c>
      <c r="K79" s="332">
        <f t="shared" si="4"/>
        <v>0</v>
      </c>
      <c r="L79"/>
      <c r="M79" s="288"/>
      <c r="N79" s="288"/>
      <c r="O79"/>
    </row>
    <row r="80" spans="1:15" ht="15" thickBot="1">
      <c r="A80" s="286">
        <f t="shared" si="5"/>
        <v>40</v>
      </c>
      <c r="B80" s="680"/>
      <c r="C80" s="681"/>
      <c r="D80" s="704"/>
      <c r="E80" s="330"/>
      <c r="G80" s="331"/>
      <c r="I80" s="331"/>
      <c r="J80" s="331">
        <f>D80</f>
        <v>0</v>
      </c>
      <c r="K80" s="332">
        <f t="shared" si="4"/>
        <v>0</v>
      </c>
      <c r="L80"/>
      <c r="M80" s="288"/>
      <c r="N80" s="288"/>
      <c r="O80"/>
    </row>
    <row r="81" spans="1:15">
      <c r="B81" s="75"/>
      <c r="C81" s="334" t="s">
        <v>624</v>
      </c>
      <c r="D81" s="335">
        <f>SUM(D65:D80)</f>
        <v>1006917.0072576128</v>
      </c>
      <c r="E81" s="336">
        <f>SUM(E65:E80)</f>
        <v>0</v>
      </c>
      <c r="G81" s="335">
        <f>SUM(G65:G80)</f>
        <v>0</v>
      </c>
      <c r="I81" s="335">
        <f>SUM(I65:I80)</f>
        <v>1006917.0072576128</v>
      </c>
      <c r="J81" s="335">
        <f>SUM(J65:J80)</f>
        <v>0</v>
      </c>
      <c r="K81" s="335">
        <f>SUM(K65:K80)</f>
        <v>1006917.0072576128</v>
      </c>
      <c r="L81"/>
      <c r="M81" s="288"/>
      <c r="N81" s="288"/>
      <c r="O81"/>
    </row>
    <row r="82" spans="1:15">
      <c r="B82" s="286"/>
      <c r="C82"/>
      <c r="D82"/>
      <c r="E82"/>
      <c r="F82"/>
      <c r="G82"/>
      <c r="H82"/>
      <c r="I82"/>
      <c r="J82"/>
      <c r="K82"/>
      <c r="L82"/>
      <c r="M82" s="288"/>
      <c r="N82" s="288"/>
      <c r="O82"/>
    </row>
    <row r="83" spans="1:15" ht="20.25" customHeight="1">
      <c r="A83" s="286" t="s">
        <v>693</v>
      </c>
      <c r="B83" s="1165" t="s">
        <v>772</v>
      </c>
      <c r="C83" s="1165"/>
      <c r="D83" s="1165"/>
      <c r="E83" s="1165"/>
      <c r="F83" s="1165"/>
      <c r="G83" s="1165"/>
      <c r="H83" s="1165"/>
      <c r="I83" s="1165"/>
      <c r="J83" s="1165"/>
      <c r="K83" s="1165"/>
      <c r="L83" s="1165"/>
      <c r="M83" s="288"/>
      <c r="N83" s="288"/>
      <c r="O83"/>
    </row>
    <row r="84" spans="1:15" ht="20.25" customHeight="1">
      <c r="A84" s="723"/>
      <c r="B84" s="1165"/>
      <c r="C84" s="1165"/>
      <c r="D84" s="1165"/>
      <c r="E84" s="1165"/>
      <c r="F84" s="1165"/>
      <c r="G84" s="1165"/>
      <c r="H84" s="1165"/>
      <c r="I84" s="1165"/>
      <c r="J84" s="1165"/>
      <c r="K84" s="1165"/>
      <c r="L84" s="1165"/>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10:K10"/>
    <mergeCell ref="A3:L3"/>
    <mergeCell ref="A4:L4"/>
    <mergeCell ref="A5:L5"/>
    <mergeCell ref="A6:L6"/>
    <mergeCell ref="B83:L84"/>
    <mergeCell ref="B60:J60"/>
    <mergeCell ref="B26:K26"/>
    <mergeCell ref="E12:E13"/>
    <mergeCell ref="I12:I13"/>
    <mergeCell ref="B36:J36"/>
    <mergeCell ref="G12:G13"/>
  </mergeCells>
  <phoneticPr fontId="4"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8"/>
  <sheetViews>
    <sheetView workbookViewId="0">
      <selection activeCell="E14" sqref="E14"/>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12" t="s">
        <v>414</v>
      </c>
    </row>
    <row r="2" spans="1:15" ht="15.75">
      <c r="A2" s="712" t="s">
        <v>414</v>
      </c>
    </row>
    <row r="3" spans="1:15" ht="15">
      <c r="A3" s="1139" t="str">
        <f>TCOS!$F$5</f>
        <v>AEPTCo subsidiaries in PJM</v>
      </c>
      <c r="B3" s="1139" t="str">
        <f>TCOS!$F$5</f>
        <v>AEPTCo subsidiaries in PJM</v>
      </c>
      <c r="C3" s="1139" t="str">
        <f>TCOS!$F$5</f>
        <v>AEPTCo subsidiaries in PJM</v>
      </c>
      <c r="D3" s="1139" t="str">
        <f>TCOS!$F$5</f>
        <v>AEPTCo subsidiaries in PJM</v>
      </c>
      <c r="E3" s="1139" t="str">
        <f>TCOS!$F$5</f>
        <v>AEPTCo subsidiaries in PJM</v>
      </c>
      <c r="F3" s="17"/>
      <c r="G3" s="17"/>
      <c r="H3" s="17"/>
      <c r="I3" s="17"/>
      <c r="J3" s="17"/>
      <c r="K3" s="17"/>
      <c r="L3" s="17"/>
      <c r="M3" s="17"/>
      <c r="N3" s="17"/>
      <c r="O3" s="17"/>
    </row>
    <row r="4" spans="1:15" ht="15">
      <c r="A4" s="1140" t="str">
        <f>"Cost of Service Formula Rate Using Actual/Projected FF1 Balances"</f>
        <v>Cost of Service Formula Rate Using Actual/Projected FF1 Balances</v>
      </c>
      <c r="B4" s="1140"/>
      <c r="C4" s="1140"/>
      <c r="D4" s="1140"/>
      <c r="E4" s="1140"/>
      <c r="F4" s="44"/>
      <c r="G4" s="44"/>
      <c r="H4" s="44"/>
      <c r="I4" s="44"/>
      <c r="J4" s="44"/>
      <c r="K4" s="44"/>
      <c r="L4" s="44"/>
      <c r="M4" s="45"/>
      <c r="N4" s="45"/>
      <c r="O4" s="45"/>
    </row>
    <row r="5" spans="1:15" ht="15">
      <c r="A5" s="1140" t="s">
        <v>551</v>
      </c>
      <c r="B5" s="1140"/>
      <c r="C5" s="1140"/>
      <c r="D5" s="1140"/>
      <c r="E5" s="1140"/>
      <c r="F5" s="44"/>
      <c r="G5" s="44"/>
      <c r="H5" s="44"/>
      <c r="I5" s="44"/>
      <c r="J5" s="44"/>
      <c r="K5" s="44"/>
      <c r="L5" s="44"/>
      <c r="M5" s="44"/>
      <c r="N5" s="44"/>
      <c r="O5" s="44"/>
    </row>
    <row r="6" spans="1:15" ht="15">
      <c r="A6" s="1151" t="str">
        <f>TCOS!F9</f>
        <v>AEP Indiana Michigan Transmission Company</v>
      </c>
      <c r="B6" s="1151"/>
      <c r="C6" s="1151"/>
      <c r="D6" s="1151"/>
      <c r="E6" s="1151"/>
      <c r="F6" s="2"/>
      <c r="G6" s="2"/>
      <c r="H6" s="2"/>
      <c r="I6" s="2"/>
      <c r="J6" s="2"/>
      <c r="K6" s="2"/>
      <c r="L6" s="2"/>
      <c r="M6" s="2"/>
      <c r="N6" s="2"/>
      <c r="O6" s="2"/>
    </row>
    <row r="8" spans="1:15">
      <c r="A8" s="69" t="s">
        <v>467</v>
      </c>
      <c r="B8" s="70" t="s">
        <v>460</v>
      </c>
      <c r="C8" s="70" t="s">
        <v>461</v>
      </c>
    </row>
    <row r="9" spans="1:15">
      <c r="A9" s="69" t="s">
        <v>405</v>
      </c>
      <c r="B9" s="69" t="s">
        <v>465</v>
      </c>
      <c r="C9" s="69">
        <f>+TCOS!L4</f>
        <v>2026</v>
      </c>
    </row>
    <row r="10" spans="1:15">
      <c r="B10" s="98"/>
      <c r="C10" s="70"/>
    </row>
    <row r="11" spans="1:15">
      <c r="A11" s="1">
        <v>1</v>
      </c>
      <c r="B11" s="891" t="str">
        <f>"Net Funds from IPP Customers 12/31/"&amp;TCOS!L4-1&amp;" ("&amp;TCOS!L4&amp;" FORM 1, P269)"</f>
        <v>Net Funds from IPP Customers 12/31/2025 (2026 FORM 1, P269)</v>
      </c>
      <c r="C11" s="355">
        <v>0</v>
      </c>
    </row>
    <row r="12" spans="1:15">
      <c r="B12" s="3"/>
    </row>
    <row r="13" spans="1:15">
      <c r="A13" s="343">
        <v>2</v>
      </c>
      <c r="B13" s="891" t="s">
        <v>259</v>
      </c>
      <c r="C13" s="355">
        <v>0</v>
      </c>
    </row>
    <row r="14" spans="1:15">
      <c r="A14" s="343"/>
      <c r="B14" s="891"/>
    </row>
    <row r="15" spans="1:15">
      <c r="A15" s="343">
        <f>+A13+1</f>
        <v>3</v>
      </c>
      <c r="B15" s="891" t="s">
        <v>337</v>
      </c>
      <c r="C15" s="355">
        <v>0</v>
      </c>
    </row>
    <row r="16" spans="1:15">
      <c r="A16" s="343"/>
      <c r="B16" s="891"/>
    </row>
    <row r="17" spans="1:4">
      <c r="A17" s="343">
        <f>+A15+1</f>
        <v>4</v>
      </c>
      <c r="B17" s="892" t="s">
        <v>0</v>
      </c>
    </row>
    <row r="18" spans="1:4">
      <c r="A18" s="344">
        <f>+A17+1</f>
        <v>5</v>
      </c>
      <c r="B18" s="891" t="s">
        <v>338</v>
      </c>
      <c r="C18" s="355">
        <v>0</v>
      </c>
    </row>
    <row r="19" spans="1:4">
      <c r="A19" s="344">
        <f>+A18+1</f>
        <v>6</v>
      </c>
      <c r="B19" s="47" t="s">
        <v>414</v>
      </c>
      <c r="C19" s="355">
        <v>0</v>
      </c>
    </row>
    <row r="20" spans="1:4">
      <c r="A20" s="344"/>
      <c r="B20" s="3"/>
      <c r="C20" s="347"/>
    </row>
    <row r="21" spans="1:4">
      <c r="A21" s="344">
        <f>+A19+1</f>
        <v>7</v>
      </c>
      <c r="B21" s="891" t="str">
        <f>"Net Funds from IPP Customers 12/31/"&amp;TCOS!L4&amp;" ("&amp;TCOS!L4&amp;" FORM 1, P269)"</f>
        <v>Net Funds from IPP Customers 12/31/2026 (2026 FORM 1, P269)</v>
      </c>
      <c r="C21" s="348">
        <f>+C11+C13+C15+C18+C19</f>
        <v>0</v>
      </c>
      <c r="D21" s="349"/>
    </row>
    <row r="22" spans="1:4">
      <c r="A22" s="344"/>
      <c r="B22" s="346"/>
    </row>
    <row r="23" spans="1:4">
      <c r="A23" s="344">
        <f>+A21+1</f>
        <v>8</v>
      </c>
      <c r="B23" s="345" t="str">
        <f>"Average Balance for Year as Indicated in Column ((ln "&amp;A11&amp;" + ln "&amp;A21&amp;")/2)"</f>
        <v>Average Balance for Year as Indicated in Column ((ln 1 + ln 7)/2)</v>
      </c>
      <c r="C23" s="350">
        <f>AVERAGE(C21,C11)</f>
        <v>0</v>
      </c>
    </row>
    <row r="24" spans="1:4">
      <c r="A24" s="344"/>
      <c r="B24" s="346"/>
    </row>
    <row r="25" spans="1:4">
      <c r="A25" s="344"/>
      <c r="B25" s="346"/>
      <c r="C25" s="348"/>
    </row>
    <row r="26" spans="1:4" ht="15">
      <c r="A26" s="351" t="s">
        <v>295</v>
      </c>
      <c r="B26" s="1172" t="str">
        <f>"On this worksheet Company Records refers to  "&amp;A6&amp;"'s general ledger."</f>
        <v>On this worksheet Company Records refers to  AEP Indiana Michigan Transmission Company's general ledger.</v>
      </c>
      <c r="C26" s="200"/>
    </row>
    <row r="27" spans="1:4">
      <c r="A27" s="352"/>
      <c r="B27" s="1173"/>
    </row>
    <row r="32" spans="1:4">
      <c r="D32" s="353"/>
    </row>
    <row r="38" spans="3:3">
      <c r="C38" s="35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MS8xOC8yMDIzIDY6MTU6Mjk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AB01F23F-AAD5-4C0A-9FAC-74F3650DBD8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571EDA4-9F00-49C5-9831-E32EBEAAE09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WS R Schedule 12</vt:lpstr>
      <vt:lpstr>WS R Schedule 1A</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P Dep. Rates'!Print_Area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2025-10-29T16:26:36Z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98890f16-3be4-4112-bfcf-d61983125ba1</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{AB01F23F-AAD5-4C0A-9FAC-74F3650DBD81}</vt:lpwstr>
  </property>
</Properties>
</file>